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<sst xmlns="http://schemas.openxmlformats.org/spreadsheetml/2006/main" count="203" uniqueCount="85">
  <si>
    <t xml:space="preserve">LDB FINANCE</t>
  </si>
  <si>
    <t xml:space="preserve">Nvidia (NVDA)</t>
  </si>
  <si>
    <t xml:space="preserve">Ten-year discounted cash flow (free cash flow to the firm)  ·  Inputs in blue can be changed; everything else recalculates.</t>
  </si>
  <si>
    <t xml:space="preserve">COST OF EQUITY (CAPM)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</si>
  <si>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</si>
  <si>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</si>
  <si>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</si>
  <si>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</si>
  <si>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</si>
  <si>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</si>
  <si>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</si>
  <si>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</si>
  <si>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</si>
  <si>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</si>
  <si>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</si>
  <si>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</si>
  <si>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</si>
  <si>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</si>
  <si>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</si>
  <si>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</si>
  <si>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</si>
  <si>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</si>
  <si>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</si>
  <si>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</si>
  <si>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</si>
  <si>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</si>
  <si>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</si>
  <si>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https://github.com/ldiazbusquets/finance/blob/main/_source/models/nvda.py,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</si>
  <si>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</si>
  <si>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</si>
  <si>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</si>
  <si>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</si>
  <si>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Fiscal 2027 run-rate, $404B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</si>
  <si>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</si>
  <si>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</si>
  <si>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</si>
  <si>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</si>
  <si>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</si>
  <si>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</si>
  <si>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</si>
  <si>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</si>
  <si>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</si>
  <si>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</si>
  <si>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</si>
  <si>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</si>
  <si>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</si>
  <si>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</si>
  <si>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</si>
  <si>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Latest balance sheet</t>
  </si>
  <si>
    <t xml:space="preserve">Diluted shares (billions)</t>
  </si>
  <si>
    <t xml:space="preserve">Latest filing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</si>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</sst>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0"/>
    <numFmt numFmtId="167" formatCode="\$#,##0.00;&quot;($&quot;#,##0.00\);\-"/>
    <numFmt numFmtId="168" formatCode="0.0%;\(0.0%\);\-"/>
    <numFmt numFmtId="169" formatCode="#,##0.0;\(#,##0.0\);\-"/>
    <numFmt numFmtId="170" formatCode="0"/>
    <numFmt numFmtId="171" formatCode="0.0"/>
    <numFmt numFmtId="172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1.58</v>
      </c>
      <c r="E9" s="9" t="s">
        <v>9</v>
      </c>
    </row>
    <row r="10" customFormat="false" ht="15" hidden="false" customHeight="false" outlineLevel="0" collapsed="false">
      <c r="A10" s="11" t="s">
        <v>10</v>
      </c>
      <c r="B10" s="12" t="n">
        <f aca="false">B7+B9*B8</f>
        <v>0.1226</v>
      </c>
    </row>
    <row r="12" customFormat="false" ht="19.5" hidden="false" customHeight="true" outlineLevel="0" collapsed="false">
      <c r="A12" s="5" t="s">
        <v>11</v>
      </c>
      <c r="B12" s="6"/>
      <c r="C12" s="6"/>
      <c r="D12" s="6"/>
      <c r="E12" s="6"/>
    </row>
    <row r="13" customFormat="false" ht="30" hidden="false" customHeight="true" outlineLevel="0" collapsed="false">
      <c r="A13" s="13"/>
      <c r="B13" s="14" t="s">
        <v>12</v>
      </c>
      <c r="C13" s="14" t="s">
        <v>13</v>
      </c>
      <c r="D13" s="14" t="s">
        <v>14</v>
      </c>
    </row>
    <row r="14" customFormat="false" ht="15" hidden="false" customHeight="false" outlineLevel="0" collapsed="false">
      <c r="A14" s="7" t="s">
        <v>15</v>
      </c>
      <c r="B14" s="15" t="n">
        <f aca="false">Bear!$B$43</f>
        <v>81.6632323719056</v>
      </c>
      <c r="C14" s="15" t="n">
        <f aca="false">Base!$B$43</f>
        <v>166.061198070761</v>
      </c>
      <c r="D14" s="15" t="n">
        <f aca="false">Bull!$B$43</f>
        <v>306.197802483683</v>
      </c>
    </row>
    <row r="15" customFormat="false" ht="15" hidden="false" customHeight="false" outlineLevel="0" collapsed="false">
      <c r="A15" s="7" t="s">
        <v>16</v>
      </c>
      <c r="B15" s="16" t="n">
        <v>0.25</v>
      </c>
      <c r="C15" s="16" t="n">
        <v>0.5</v>
      </c>
      <c r="D15" s="16" t="n">
        <v>0.25</v>
      </c>
    </row>
    <row r="16" customFormat="false" ht="15" hidden="false" customHeight="false" outlineLevel="0" collapsed="false">
      <c r="A16" s="11" t="s">
        <v>17</v>
      </c>
      <c r="C16" s="17" t="n">
        <f aca="false">SUMPRODUCT(B14:D14,B15:D15)</f>
        <v>179.995857749278</v>
      </c>
    </row>
    <row r="17" customFormat="false" ht="15" hidden="false" customHeight="false" outlineLevel="0" collapsed="false">
      <c r="A17" s="7" t="s">
        <v>18</v>
      </c>
      <c r="C17" s="18" t="n">
        <v>216.47</v>
      </c>
    </row>
    <row r="18" customFormat="false" ht="15" hidden="false" customHeight="false" outlineLevel="0" collapsed="false">
      <c r="A18" s="7" t="s">
        <v>19</v>
      </c>
      <c r="C18" s="19" t="n">
        <f aca="false">C16/C17-1</f>
        <v>-0.168495136742838</v>
      </c>
    </row>
    <row r="20" customFormat="false" ht="19.5" hidden="false" customHeight="true" outlineLevel="0" collapsed="false">
      <c r="A20" s="5" t="s">
        <v>20</v>
      </c>
      <c r="B20" s="6"/>
      <c r="C20" s="6"/>
      <c r="D20" s="6"/>
      <c r="E20" s="6"/>
    </row>
    <row r="21" customFormat="false" ht="30" hidden="false" customHeight="true" outlineLevel="0" collapsed="false">
      <c r="A21" s="13" t="s">
        <v>21</v>
      </c>
      <c r="B21" s="14" t="s">
        <v>22</v>
      </c>
      <c r="C21" s="14" t="s">
        <v>23</v>
      </c>
    </row>
    <row r="22" customFormat="false" ht="15" hidden="false" customHeight="false" outlineLevel="0" collapsed="false">
      <c r="A22" s="20"/>
      <c r="B22" s="21" t="n">
        <v>0.09</v>
      </c>
      <c r="C22" s="22" t="n">
        <f aca="false">(SUMPRODUCT(Base!$B$32:$K$32,1/(1+B22)^(Base!$B$24:$K$24-0.5))+Base!$K$29*(1+Base!$B$10)*(1-Base!$B$14)*(1-Base!$B$10/Base!$B$16)/(B22-Base!$B$10)/(1+B22)^9.5+Base!$B$19)/Base!$B$20</f>
        <v>258.240733662165</v>
      </c>
    </row>
    <row r="23" customFormat="false" ht="15" hidden="false" customHeight="false" outlineLevel="0" collapsed="false">
      <c r="A23" s="20"/>
      <c r="B23" s="21" t="n">
        <v>0.1</v>
      </c>
      <c r="C23" s="22" t="n">
        <f aca="false">(SUMPRODUCT(Base!$B$32:$K$32,1/(1+B23)^(Base!$B$24:$K$24-0.5))+Base!$K$29*(1+Base!$B$10)*(1-Base!$B$14)*(1-Base!$B$10/Base!$B$16)/(B23-Base!$B$10)/(1+B23)^9.5+Base!$B$19)/Base!$B$20</f>
        <v>220.826578628415</v>
      </c>
    </row>
    <row r="24" customFormat="false" ht="15" hidden="false" customHeight="false" outlineLevel="0" collapsed="false">
      <c r="A24" s="20"/>
      <c r="B24" s="21" t="n">
        <v>0.11</v>
      </c>
      <c r="C24" s="22" t="n">
        <f aca="false">(SUMPRODUCT(Base!$B$32:$K$32,1/(1+B24)^(Base!$B$24:$K$24-0.5))+Base!$K$29*(1+Base!$B$10)*(1-Base!$B$14)*(1-Base!$B$10/Base!$B$16)/(B24-Base!$B$10)/(1+B24)^9.5+Base!$B$19)/Base!$B$20</f>
        <v>192.771991045712</v>
      </c>
    </row>
    <row r="25" customFormat="false" ht="15" hidden="false" customHeight="false" outlineLevel="0" collapsed="false">
      <c r="A25" s="9" t="s">
        <v>24</v>
      </c>
    </row>
    <row r="27" customFormat="false" ht="19.5" hidden="false" customHeight="true" outlineLevel="0" collapsed="false">
      <c r="A27" s="5" t="s">
        <v>25</v>
      </c>
      <c r="B27" s="6"/>
      <c r="C27" s="6"/>
      <c r="D27" s="6"/>
      <c r="E27" s="6"/>
    </row>
    <row r="28" customFormat="false" ht="15" hidden="false" customHeight="false" outlineLevel="0" collapsed="false">
      <c r="A28" s="9" t="s">
        <v>26</v>
      </c>
    </row>
    <row r="29" customFormat="false" ht="15" hidden="false" customHeight="false" outlineLevel="0" collapsed="false">
      <c r="A29" s="9" t="s">
        <v>27</v>
      </c>
    </row>
    <row r="30" customFormat="false" ht="15" hidden="false" customHeight="false" outlineLevel="0" collapsed="false">
      <c r="A30" s="9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404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0.4</v>
      </c>
    </row>
    <row r="9" customFormat="false" ht="15" hidden="false" customHeight="false" outlineLevel="0" collapsed="false">
      <c r="A9" s="7" t="s">
        <v>34</v>
      </c>
      <c r="B9" s="16" t="n">
        <v>0.15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0.63</v>
      </c>
    </row>
    <row r="12" customFormat="false" ht="15" hidden="false" customHeight="false" outlineLevel="0" collapsed="false">
      <c r="A12" s="7" t="s">
        <v>38</v>
      </c>
      <c r="B12" s="16" t="n">
        <v>0.55</v>
      </c>
    </row>
    <row r="13" customFormat="false" ht="15" hidden="false" customHeight="false" outlineLevel="0" collapsed="false">
      <c r="A13" s="7" t="s">
        <v>39</v>
      </c>
      <c r="B13" s="24" t="n">
        <v>7</v>
      </c>
    </row>
    <row r="14" customFormat="false" ht="15" hidden="false" customHeight="false" outlineLevel="0" collapsed="false">
      <c r="A14" s="7" t="s">
        <v>40</v>
      </c>
      <c r="B14" s="16" t="n">
        <v>0.17</v>
      </c>
    </row>
    <row r="15" customFormat="false" ht="15" hidden="false" customHeight="false" outlineLevel="0" collapsed="false">
      <c r="A15" s="7" t="s">
        <v>41</v>
      </c>
      <c r="B15" s="25" t="n">
        <v>2.5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0.25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0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0.1226</v>
      </c>
    </row>
    <row r="19" customFormat="false" ht="15" hidden="false" customHeight="false" outlineLevel="0" collapsed="false">
      <c r="A19" s="7" t="s">
        <v>47</v>
      </c>
      <c r="B19" s="23" t="n">
        <v>0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24.3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0.4</v>
      </c>
      <c r="C26" s="19" t="n">
        <f aca="false">$B$9</f>
        <v>0.15</v>
      </c>
      <c r="D26" s="19" t="n">
        <f aca="false">$B$9+($B$10-$B$9)*(D24-2)/8</f>
        <v>0.135</v>
      </c>
      <c r="E26" s="19" t="n">
        <f aca="false">$B$9+($B$10-$B$9)*(E24-2)/8</f>
        <v>0.12</v>
      </c>
      <c r="F26" s="19" t="n">
        <f aca="false">$B$9+($B$10-$B$9)*(F24-2)/8</f>
        <v>0.105</v>
      </c>
      <c r="G26" s="19" t="n">
        <f aca="false">$B$9+($B$10-$B$9)*(G24-2)/8</f>
        <v>0.09</v>
      </c>
      <c r="H26" s="19" t="n">
        <f aca="false">$B$9+($B$10-$B$9)*(H24-2)/8</f>
        <v>0.075</v>
      </c>
      <c r="I26" s="19" t="n">
        <f aca="false">$B$9+($B$10-$B$9)*(I24-2)/8</f>
        <v>0.06</v>
      </c>
      <c r="J26" s="19" t="n">
        <f aca="false">$B$9+($B$10-$B$9)*(J24-2)/8</f>
        <v>0.045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565.6</v>
      </c>
      <c r="C27" s="29" t="n">
        <f aca="false">B27*(1+C26)</f>
        <v>650.44</v>
      </c>
      <c r="D27" s="29" t="n">
        <f aca="false">C27*(1+D26)</f>
        <v>738.2494</v>
      </c>
      <c r="E27" s="29" t="n">
        <f aca="false">D27*(1+E26)</f>
        <v>826.839328</v>
      </c>
      <c r="F27" s="29" t="n">
        <f aca="false">E27*(1+F26)</f>
        <v>913.65745744</v>
      </c>
      <c r="G27" s="29" t="n">
        <f aca="false">F27*(1+G26)</f>
        <v>995.8866286096</v>
      </c>
      <c r="H27" s="29" t="n">
        <f aca="false">G27*(1+H26)</f>
        <v>1070.57812575532</v>
      </c>
      <c r="I27" s="29" t="n">
        <f aca="false">H27*(1+I26)</f>
        <v>1134.81281330064</v>
      </c>
      <c r="J27" s="29" t="n">
        <f aca="false">I27*(1+J26)</f>
        <v>1185.87938989917</v>
      </c>
      <c r="K27" s="29" t="n">
        <f aca="false">J27*(1+K26)</f>
        <v>1221.45577159614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0.618571428571429</v>
      </c>
      <c r="C28" s="19" t="n">
        <f aca="false">$B$11+($B$12-$B$11)*MIN(1,C24/$B$13)</f>
        <v>0.607142857142857</v>
      </c>
      <c r="D28" s="19" t="n">
        <f aca="false">$B$11+($B$12-$B$11)*MIN(1,D24/$B$13)</f>
        <v>0.595714285714286</v>
      </c>
      <c r="E28" s="19" t="n">
        <f aca="false">$B$11+($B$12-$B$11)*MIN(1,E24/$B$13)</f>
        <v>0.584285714285714</v>
      </c>
      <c r="F28" s="19" t="n">
        <f aca="false">$B$11+($B$12-$B$11)*MIN(1,F24/$B$13)</f>
        <v>0.572857142857143</v>
      </c>
      <c r="G28" s="19" t="n">
        <f aca="false">$B$11+($B$12-$B$11)*MIN(1,G24/$B$13)</f>
        <v>0.561428571428572</v>
      </c>
      <c r="H28" s="19" t="n">
        <f aca="false">$B$11+($B$12-$B$11)*MIN(1,H24/$B$13)</f>
        <v>0.55</v>
      </c>
      <c r="I28" s="19" t="n">
        <f aca="false">$B$11+($B$12-$B$11)*MIN(1,I24/$B$13)</f>
        <v>0.55</v>
      </c>
      <c r="J28" s="19" t="n">
        <f aca="false">$B$11+($B$12-$B$11)*MIN(1,J24/$B$13)</f>
        <v>0.55</v>
      </c>
      <c r="K28" s="19" t="n">
        <f aca="false">$B$11+($B$12-$B$11)*MIN(1,K24/$B$13)</f>
        <v>0.55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349.864</v>
      </c>
      <c r="C29" s="29" t="n">
        <f aca="false">C27*C28</f>
        <v>394.91</v>
      </c>
      <c r="D29" s="29" t="n">
        <f aca="false">D27*D28</f>
        <v>439.785714</v>
      </c>
      <c r="E29" s="29" t="n">
        <f aca="false">E27*E28</f>
        <v>483.11040736</v>
      </c>
      <c r="F29" s="29" t="n">
        <f aca="false">F27*F28</f>
        <v>523.3952006192</v>
      </c>
      <c r="G29" s="29" t="n">
        <f aca="false">G27*G28</f>
        <v>559.119207205104</v>
      </c>
      <c r="H29" s="29" t="n">
        <f aca="false">H27*H28</f>
        <v>588.817969165426</v>
      </c>
      <c r="I29" s="29" t="n">
        <f aca="false">I27*I28</f>
        <v>624.147047315352</v>
      </c>
      <c r="J29" s="29" t="n">
        <f aca="false">J27*J28</f>
        <v>652.233664444542</v>
      </c>
      <c r="K29" s="29" t="n">
        <f aca="false">K27*K28</f>
        <v>671.800674377879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290.38712</v>
      </c>
      <c r="C30" s="29" t="n">
        <f aca="false">C29*(1-$B$14)</f>
        <v>327.7753</v>
      </c>
      <c r="D30" s="29" t="n">
        <f aca="false">D29*(1-$B$14)</f>
        <v>365.02214262</v>
      </c>
      <c r="E30" s="29" t="n">
        <f aca="false">E29*(1-$B$14)</f>
        <v>400.9816381088</v>
      </c>
      <c r="F30" s="29" t="n">
        <f aca="false">F29*(1-$B$14)</f>
        <v>434.418016513936</v>
      </c>
      <c r="G30" s="29" t="n">
        <f aca="false">G29*(1-$B$14)</f>
        <v>464.068941980236</v>
      </c>
      <c r="H30" s="29" t="n">
        <f aca="false">H29*(1-$B$14)</f>
        <v>488.718914407304</v>
      </c>
      <c r="I30" s="29" t="n">
        <f aca="false">I29*(1-$B$14)</f>
        <v>518.042049271742</v>
      </c>
      <c r="J30" s="29" t="n">
        <f aca="false">J29*(1-$B$14)</f>
        <v>541.35394148897</v>
      </c>
      <c r="K30" s="29" t="n">
        <f aca="false">K29*(1-$B$14)</f>
        <v>557.594559733639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64.64</v>
      </c>
      <c r="C31" s="29" t="n">
        <f aca="false">IF(ISNUMBER(C25),C25,(C27-B27)/$B$15)</f>
        <v>33.936</v>
      </c>
      <c r="D31" s="29" t="n">
        <f aca="false">IF(ISNUMBER(D25),D25,(D27-C27)/$B$15)</f>
        <v>35.12376</v>
      </c>
      <c r="E31" s="29" t="n">
        <f aca="false">IF(ISNUMBER(E25),E25,(E27-D27)/$B$15)</f>
        <v>35.4359712</v>
      </c>
      <c r="F31" s="29" t="n">
        <f aca="false">IF(ISNUMBER(F25),F25,(F27-E27)/$B$15)</f>
        <v>34.727251776</v>
      </c>
      <c r="G31" s="29" t="n">
        <f aca="false">IF(ISNUMBER(G25),G25,(G27-F27)/$B$15)</f>
        <v>32.89166846784</v>
      </c>
      <c r="H31" s="29" t="n">
        <f aca="false">IF(ISNUMBER(H25),H25,(H27-G27)/$B$15)</f>
        <v>29.876598858288</v>
      </c>
      <c r="I31" s="29" t="n">
        <f aca="false">IF(ISNUMBER(I25),I25,(I27-H27)/$B$15)</f>
        <v>25.6938750181277</v>
      </c>
      <c r="J31" s="29" t="n">
        <f aca="false">IF(ISNUMBER(J25),J25,(J27-I27)/$B$15)</f>
        <v>20.4266306394115</v>
      </c>
      <c r="K31" s="29" t="n">
        <f aca="false">IF(ISNUMBER(K25),K25,(K27-J27)/$B$15)</f>
        <v>14.23055267879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225.74712</v>
      </c>
      <c r="C32" s="30" t="n">
        <f aca="false">C30-C31</f>
        <v>293.8393</v>
      </c>
      <c r="D32" s="30" t="n">
        <f aca="false">D30-D31</f>
        <v>329.89838262</v>
      </c>
      <c r="E32" s="30" t="n">
        <f aca="false">E30-E31</f>
        <v>365.5456669088</v>
      </c>
      <c r="F32" s="30" t="n">
        <f aca="false">F30-F31</f>
        <v>399.690764737936</v>
      </c>
      <c r="G32" s="30" t="n">
        <f aca="false">G30-G31</f>
        <v>431.177273512396</v>
      </c>
      <c r="H32" s="30" t="n">
        <f aca="false">H30-H31</f>
        <v>458.842315549016</v>
      </c>
      <c r="I32" s="30" t="n">
        <f aca="false">I30-I31</f>
        <v>492.348174253614</v>
      </c>
      <c r="J32" s="30" t="n">
        <f aca="false">J30-J31</f>
        <v>520.927310849559</v>
      </c>
      <c r="K32" s="30" t="n">
        <f aca="false">K30-K31</f>
        <v>543.364007054849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0.943816316486418</v>
      </c>
      <c r="C33" s="31" t="n">
        <f aca="false">1/(1+$B$18)^(C24-0.5)</f>
        <v>0.840741418569765</v>
      </c>
      <c r="D33" s="31" t="n">
        <f aca="false">1/(1+$B$18)^(D24-0.5)</f>
        <v>0.748923408667169</v>
      </c>
      <c r="E33" s="31" t="n">
        <f aca="false">1/(1+$B$18)^(E24-0.5)</f>
        <v>0.66713291347512</v>
      </c>
      <c r="F33" s="31" t="n">
        <f aca="false">1/(1+$B$18)^(F24-0.5)</f>
        <v>0.594274820483805</v>
      </c>
      <c r="G33" s="31" t="n">
        <f aca="false">1/(1+$B$18)^(G24-0.5)</f>
        <v>0.529373615253701</v>
      </c>
      <c r="H33" s="31" t="n">
        <f aca="false">1/(1+$B$18)^(H24-0.5)</f>
        <v>0.471560320019331</v>
      </c>
      <c r="I33" s="31" t="n">
        <f aca="false">1/(1+$B$18)^(I24-0.5)</f>
        <v>0.420060858738047</v>
      </c>
      <c r="J33" s="31" t="n">
        <f aca="false">1/(1+$B$18)^(J24-0.5)</f>
        <v>0.374185692800683</v>
      </c>
      <c r="K33" s="31" t="n">
        <f aca="false">1/(1+$B$18)^(K24-0.5)</f>
        <v>0.333320588634138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213.063815255817</v>
      </c>
      <c r="C34" s="29" t="n">
        <f aca="false">C32*C33</f>
        <v>247.042869913547</v>
      </c>
      <c r="D34" s="29" t="n">
        <f aca="false">D32*D33</f>
        <v>247.068621225556</v>
      </c>
      <c r="E34" s="29" t="n">
        <f aca="false">E32*E33</f>
        <v>243.867545773073</v>
      </c>
      <c r="F34" s="29" t="n">
        <f aca="false">F32*F33</f>
        <v>237.526157463672</v>
      </c>
      <c r="G34" s="29" t="n">
        <f aca="false">G32*G33</f>
        <v>228.253872094491</v>
      </c>
      <c r="H34" s="29" t="n">
        <f aca="false">H32*H33</f>
        <v>216.371829158705</v>
      </c>
      <c r="I34" s="29" t="n">
        <f aca="false">I32*I33</f>
        <v>206.816196875083</v>
      </c>
      <c r="J34" s="29" t="n">
        <f aca="false">J32*J33</f>
        <v>194.923546709039</v>
      </c>
      <c r="K34" s="29" t="n">
        <f aca="false">K32*K33</f>
        <v>181.114410674126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2216.04886514311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574.322396525648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5457.92342270595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1819.23824797639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4035.2871131195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4035.2871131195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166.061198070761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404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0.2</v>
      </c>
    </row>
    <row r="9" customFormat="false" ht="15" hidden="false" customHeight="false" outlineLevel="0" collapsed="false">
      <c r="A9" s="7" t="s">
        <v>34</v>
      </c>
      <c r="B9" s="16" t="n">
        <v>0.05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0.6</v>
      </c>
    </row>
    <row r="12" customFormat="false" ht="15" hidden="false" customHeight="false" outlineLevel="0" collapsed="false">
      <c r="A12" s="7" t="s">
        <v>38</v>
      </c>
      <c r="B12" s="16" t="n">
        <v>0.45</v>
      </c>
    </row>
    <row r="13" customFormat="false" ht="15" hidden="false" customHeight="false" outlineLevel="0" collapsed="false">
      <c r="A13" s="7" t="s">
        <v>39</v>
      </c>
      <c r="B13" s="24" t="n">
        <v>7</v>
      </c>
    </row>
    <row r="14" customFormat="false" ht="15" hidden="false" customHeight="false" outlineLevel="0" collapsed="false">
      <c r="A14" s="7" t="s">
        <v>40</v>
      </c>
      <c r="B14" s="16" t="n">
        <v>0.17</v>
      </c>
    </row>
    <row r="15" customFormat="false" ht="15" hidden="false" customHeight="false" outlineLevel="0" collapsed="false">
      <c r="A15" s="7" t="s">
        <v>41</v>
      </c>
      <c r="B15" s="25" t="n">
        <v>2.5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0.25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0.01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0.1326</v>
      </c>
    </row>
    <row r="19" customFormat="false" ht="15" hidden="false" customHeight="false" outlineLevel="0" collapsed="false">
      <c r="A19" s="7" t="s">
        <v>47</v>
      </c>
      <c r="B19" s="23" t="n">
        <v>0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24.3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0.2</v>
      </c>
      <c r="C26" s="19" t="n">
        <f aca="false">$B$9</f>
        <v>0.05</v>
      </c>
      <c r="D26" s="19" t="n">
        <f aca="false">$B$9+($B$10-$B$9)*(D24-2)/8</f>
        <v>0.0475</v>
      </c>
      <c r="E26" s="19" t="n">
        <f aca="false">$B$9+($B$10-$B$9)*(E24-2)/8</f>
        <v>0.045</v>
      </c>
      <c r="F26" s="19" t="n">
        <f aca="false">$B$9+($B$10-$B$9)*(F24-2)/8</f>
        <v>0.0425</v>
      </c>
      <c r="G26" s="19" t="n">
        <f aca="false">$B$9+($B$10-$B$9)*(G24-2)/8</f>
        <v>0.04</v>
      </c>
      <c r="H26" s="19" t="n">
        <f aca="false">$B$9+($B$10-$B$9)*(H24-2)/8</f>
        <v>0.0375</v>
      </c>
      <c r="I26" s="19" t="n">
        <f aca="false">$B$9+($B$10-$B$9)*(I24-2)/8</f>
        <v>0.035</v>
      </c>
      <c r="J26" s="19" t="n">
        <f aca="false">$B$9+($B$10-$B$9)*(J24-2)/8</f>
        <v>0.0325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484.8</v>
      </c>
      <c r="C27" s="29" t="n">
        <f aca="false">B27*(1+C26)</f>
        <v>509.04</v>
      </c>
      <c r="D27" s="29" t="n">
        <f aca="false">C27*(1+D26)</f>
        <v>533.2194</v>
      </c>
      <c r="E27" s="29" t="n">
        <f aca="false">D27*(1+E26)</f>
        <v>557.214273</v>
      </c>
      <c r="F27" s="29" t="n">
        <f aca="false">E27*(1+F26)</f>
        <v>580.8958796025</v>
      </c>
      <c r="G27" s="29" t="n">
        <f aca="false">F27*(1+G26)</f>
        <v>604.1317147866</v>
      </c>
      <c r="H27" s="29" t="n">
        <f aca="false">G27*(1+H26)</f>
        <v>626.786654091098</v>
      </c>
      <c r="I27" s="29" t="n">
        <f aca="false">H27*(1+I26)</f>
        <v>648.724186984286</v>
      </c>
      <c r="J27" s="29" t="n">
        <f aca="false">I27*(1+J26)</f>
        <v>669.807723061275</v>
      </c>
      <c r="K27" s="29" t="n">
        <f aca="false">J27*(1+K26)</f>
        <v>689.901954753114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0.578571428571429</v>
      </c>
      <c r="C28" s="19" t="n">
        <f aca="false">$B$11+($B$12-$B$11)*MIN(1,C24/$B$13)</f>
        <v>0.557142857142857</v>
      </c>
      <c r="D28" s="19" t="n">
        <f aca="false">$B$11+($B$12-$B$11)*MIN(1,D24/$B$13)</f>
        <v>0.535714285714286</v>
      </c>
      <c r="E28" s="19" t="n">
        <f aca="false">$B$11+($B$12-$B$11)*MIN(1,E24/$B$13)</f>
        <v>0.514285714285714</v>
      </c>
      <c r="F28" s="19" t="n">
        <f aca="false">$B$11+($B$12-$B$11)*MIN(1,F24/$B$13)</f>
        <v>0.492857142857143</v>
      </c>
      <c r="G28" s="19" t="n">
        <f aca="false">$B$11+($B$12-$B$11)*MIN(1,G24/$B$13)</f>
        <v>0.471428571428571</v>
      </c>
      <c r="H28" s="19" t="n">
        <f aca="false">$B$11+($B$12-$B$11)*MIN(1,H24/$B$13)</f>
        <v>0.45</v>
      </c>
      <c r="I28" s="19" t="n">
        <f aca="false">$B$11+($B$12-$B$11)*MIN(1,I24/$B$13)</f>
        <v>0.45</v>
      </c>
      <c r="J28" s="19" t="n">
        <f aca="false">$B$11+($B$12-$B$11)*MIN(1,J24/$B$13)</f>
        <v>0.45</v>
      </c>
      <c r="K28" s="19" t="n">
        <f aca="false">$B$11+($B$12-$B$11)*MIN(1,K24/$B$13)</f>
        <v>0.45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280.491428571429</v>
      </c>
      <c r="C29" s="29" t="n">
        <f aca="false">C27*C28</f>
        <v>283.608</v>
      </c>
      <c r="D29" s="29" t="n">
        <f aca="false">D27*D28</f>
        <v>285.65325</v>
      </c>
      <c r="E29" s="29" t="n">
        <f aca="false">E27*E28</f>
        <v>286.5673404</v>
      </c>
      <c r="F29" s="29" t="n">
        <f aca="false">F27*F28</f>
        <v>286.298683518375</v>
      </c>
      <c r="G29" s="29" t="n">
        <f aca="false">G27*G28</f>
        <v>284.80495125654</v>
      </c>
      <c r="H29" s="29" t="n">
        <f aca="false">H27*H28</f>
        <v>282.053994340994</v>
      </c>
      <c r="I29" s="29" t="n">
        <f aca="false">I27*I28</f>
        <v>291.925884142929</v>
      </c>
      <c r="J29" s="29" t="n">
        <f aca="false">J27*J28</f>
        <v>301.413475377574</v>
      </c>
      <c r="K29" s="29" t="n">
        <f aca="false">K27*K28</f>
        <v>310.455879638901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232.807885714286</v>
      </c>
      <c r="C30" s="29" t="n">
        <f aca="false">C29*(1-$B$14)</f>
        <v>235.39464</v>
      </c>
      <c r="D30" s="29" t="n">
        <f aca="false">D29*(1-$B$14)</f>
        <v>237.0921975</v>
      </c>
      <c r="E30" s="29" t="n">
        <f aca="false">E29*(1-$B$14)</f>
        <v>237.850892532</v>
      </c>
      <c r="F30" s="29" t="n">
        <f aca="false">F29*(1-$B$14)</f>
        <v>237.627907320251</v>
      </c>
      <c r="G30" s="29" t="n">
        <f aca="false">G29*(1-$B$14)</f>
        <v>236.388109542928</v>
      </c>
      <c r="H30" s="29" t="n">
        <f aca="false">H29*(1-$B$14)</f>
        <v>234.104815303025</v>
      </c>
      <c r="I30" s="29" t="n">
        <f aca="false">I29*(1-$B$14)</f>
        <v>242.298483838631</v>
      </c>
      <c r="J30" s="29" t="n">
        <f aca="false">J29*(1-$B$14)</f>
        <v>250.173184563386</v>
      </c>
      <c r="K30" s="29" t="n">
        <f aca="false">K29*(1-$B$14)</f>
        <v>257.678380100288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32.32</v>
      </c>
      <c r="C31" s="29" t="n">
        <f aca="false">IF(ISNUMBER(C25),C25,(C27-B27)/$B$15)</f>
        <v>9.696</v>
      </c>
      <c r="D31" s="29" t="n">
        <f aca="false">IF(ISNUMBER(D25),D25,(D27-C27)/$B$15)</f>
        <v>9.67176000000004</v>
      </c>
      <c r="E31" s="29" t="n">
        <f aca="false">IF(ISNUMBER(E25),E25,(E27-D27)/$B$15)</f>
        <v>9.59794919999999</v>
      </c>
      <c r="F31" s="29" t="n">
        <f aca="false">IF(ISNUMBER(F25),F25,(F27-E27)/$B$15)</f>
        <v>9.47264264099999</v>
      </c>
      <c r="G31" s="29" t="n">
        <f aca="false">IF(ISNUMBER(G25),G25,(G27-F27)/$B$15)</f>
        <v>9.29433407363999</v>
      </c>
      <c r="H31" s="29" t="n">
        <f aca="false">IF(ISNUMBER(H25),H25,(H27-G27)/$B$15)</f>
        <v>9.06197572179904</v>
      </c>
      <c r="I31" s="29" t="n">
        <f aca="false">IF(ISNUMBER(I25),I25,(I27-H27)/$B$15)</f>
        <v>8.77501315727536</v>
      </c>
      <c r="J31" s="29" t="n">
        <f aca="false">IF(ISNUMBER(J25),J25,(J27-I27)/$B$15)</f>
        <v>8.43341443079571</v>
      </c>
      <c r="K31" s="29" t="n">
        <f aca="false">IF(ISNUMBER(K25),K25,(K27-J27)/$B$15)</f>
        <v>8.03769267673533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200.487885714286</v>
      </c>
      <c r="C32" s="30" t="n">
        <f aca="false">C30-C31</f>
        <v>225.69864</v>
      </c>
      <c r="D32" s="30" t="n">
        <f aca="false">D30-D31</f>
        <v>227.4204375</v>
      </c>
      <c r="E32" s="30" t="n">
        <f aca="false">E30-E31</f>
        <v>228.252943332</v>
      </c>
      <c r="F32" s="30" t="n">
        <f aca="false">F30-F31</f>
        <v>228.155264679251</v>
      </c>
      <c r="G32" s="30" t="n">
        <f aca="false">G30-G31</f>
        <v>227.093775469288</v>
      </c>
      <c r="H32" s="30" t="n">
        <f aca="false">H30-H31</f>
        <v>225.042839581226</v>
      </c>
      <c r="I32" s="30" t="n">
        <f aca="false">I30-I31</f>
        <v>233.523470681355</v>
      </c>
      <c r="J32" s="30" t="n">
        <f aca="false">J30-J31</f>
        <v>241.739770132591</v>
      </c>
      <c r="K32" s="30" t="n">
        <f aca="false">K30-K31</f>
        <v>249.640687423553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0.939640487154407</v>
      </c>
      <c r="C33" s="31" t="n">
        <f aca="false">1/(1+$B$18)^(C24-0.5)</f>
        <v>0.829631367785985</v>
      </c>
      <c r="D33" s="31" t="n">
        <f aca="false">1/(1+$B$18)^(D24-0.5)</f>
        <v>0.732501649113531</v>
      </c>
      <c r="E33" s="31" t="n">
        <f aca="false">1/(1+$B$18)^(E24-0.5)</f>
        <v>0.646743465577901</v>
      </c>
      <c r="F33" s="31" t="n">
        <f aca="false">1/(1+$B$18)^(F24-0.5)</f>
        <v>0.571025486118578</v>
      </c>
      <c r="G33" s="31" t="n">
        <f aca="false">1/(1+$B$18)^(G24-0.5)</f>
        <v>0.504172246263975</v>
      </c>
      <c r="H33" s="31" t="n">
        <f aca="false">1/(1+$B$18)^(H24-0.5)</f>
        <v>0.445145899932875</v>
      </c>
      <c r="I33" s="31" t="n">
        <f aca="false">1/(1+$B$18)^(I24-0.5)</f>
        <v>0.393030107657492</v>
      </c>
      <c r="J33" s="31" t="n">
        <f aca="false">1/(1+$B$18)^(J24-0.5)</f>
        <v>0.347015811104972</v>
      </c>
      <c r="K33" s="31" t="n">
        <f aca="false">1/(1+$B$18)^(K24-0.5)</f>
        <v>0.306388673057542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188.386534601128</v>
      </c>
      <c r="C34" s="29" t="n">
        <f aca="false">C32*C33</f>
        <v>187.246671410637</v>
      </c>
      <c r="D34" s="29" t="n">
        <f aca="false">D32*D33</f>
        <v>166.585845510871</v>
      </c>
      <c r="E34" s="29" t="n">
        <f aca="false">E32*E33</f>
        <v>147.621099598894</v>
      </c>
      <c r="F34" s="29" t="n">
        <f aca="false">F32*F33</f>
        <v>130.282470923982</v>
      </c>
      <c r="G34" s="29" t="n">
        <f aca="false">G32*G33</f>
        <v>114.494378890918</v>
      </c>
      <c r="H34" s="29" t="n">
        <f aca="false">H32*H33</f>
        <v>100.176897348834</v>
      </c>
      <c r="I34" s="29" t="n">
        <f aca="false">I32*I33</f>
        <v>91.7817548224443</v>
      </c>
      <c r="J34" s="29" t="n">
        <f aca="false">J32*J33</f>
        <v>83.8875224088905</v>
      </c>
      <c r="K34" s="29" t="n">
        <f aca="false">K32*K33</f>
        <v>76.487078960875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1286.95025447747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265.408731503297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2276.41017273783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697.466292159833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1984.41654663731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1984.41654663731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81.6632323719056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31</v>
      </c>
      <c r="B7" s="23" t="n">
        <v>404</v>
      </c>
      <c r="C7" s="9" t="s">
        <v>32</v>
      </c>
    </row>
    <row r="8" customFormat="false" ht="15" hidden="false" customHeight="false" outlineLevel="0" collapsed="false">
      <c r="A8" s="7" t="s">
        <v>33</v>
      </c>
      <c r="B8" s="16" t="n">
        <v>0.55</v>
      </c>
    </row>
    <row r="9" customFormat="false" ht="15" hidden="false" customHeight="false" outlineLevel="0" collapsed="false">
      <c r="A9" s="7" t="s">
        <v>34</v>
      </c>
      <c r="B9" s="16" t="n">
        <v>0.25</v>
      </c>
      <c r="C9" s="9" t="s">
        <v>35</v>
      </c>
    </row>
    <row r="10" customFormat="false" ht="15" hidden="false" customHeight="false" outlineLevel="0" collapsed="false">
      <c r="A10" s="7" t="s">
        <v>36</v>
      </c>
      <c r="B10" s="16" t="n">
        <v>0.03</v>
      </c>
    </row>
    <row r="11" customFormat="false" ht="15" hidden="false" customHeight="false" outlineLevel="0" collapsed="false">
      <c r="A11" s="7" t="s">
        <v>37</v>
      </c>
      <c r="B11" s="16" t="n">
        <v>0.65</v>
      </c>
    </row>
    <row r="12" customFormat="false" ht="15" hidden="false" customHeight="false" outlineLevel="0" collapsed="false">
      <c r="A12" s="7" t="s">
        <v>38</v>
      </c>
      <c r="B12" s="16" t="n">
        <v>0.6</v>
      </c>
    </row>
    <row r="13" customFormat="false" ht="15" hidden="false" customHeight="false" outlineLevel="0" collapsed="false">
      <c r="A13" s="7" t="s">
        <v>39</v>
      </c>
      <c r="B13" s="24" t="n">
        <v>7</v>
      </c>
    </row>
    <row r="14" customFormat="false" ht="15" hidden="false" customHeight="false" outlineLevel="0" collapsed="false">
      <c r="A14" s="7" t="s">
        <v>40</v>
      </c>
      <c r="B14" s="16" t="n">
        <v>0.17</v>
      </c>
    </row>
    <row r="15" customFormat="false" ht="15" hidden="false" customHeight="false" outlineLevel="0" collapsed="false">
      <c r="A15" s="7" t="s">
        <v>41</v>
      </c>
      <c r="B15" s="25" t="n">
        <v>2.5</v>
      </c>
      <c r="C15" s="9" t="s">
        <v>42</v>
      </c>
    </row>
    <row r="16" customFormat="false" ht="15" hidden="false" customHeight="false" outlineLevel="0" collapsed="false">
      <c r="A16" s="7" t="s">
        <v>43</v>
      </c>
      <c r="B16" s="16" t="n">
        <v>0.25</v>
      </c>
      <c r="C16" s="9" t="s">
        <v>44</v>
      </c>
    </row>
    <row r="17" customFormat="false" ht="15" hidden="false" customHeight="false" outlineLevel="0" collapsed="false">
      <c r="A17" s="7" t="s">
        <v>45</v>
      </c>
      <c r="B17" s="8" t="n">
        <v>-0.01</v>
      </c>
      <c r="C17" s="9" t="s">
        <v>46</v>
      </c>
    </row>
    <row r="18" customFormat="false" ht="15" hidden="false" customHeight="false" outlineLevel="0" collapsed="false">
      <c r="A18" s="7" t="s">
        <v>22</v>
      </c>
      <c r="B18" s="26" t="n">
        <f aca="false">Summary!$B$10+B17</f>
        <v>0.1126</v>
      </c>
    </row>
    <row r="19" customFormat="false" ht="15" hidden="false" customHeight="false" outlineLevel="0" collapsed="false">
      <c r="A19" s="7" t="s">
        <v>47</v>
      </c>
      <c r="B19" s="23" t="n">
        <v>0</v>
      </c>
      <c r="C19" s="9" t="s">
        <v>48</v>
      </c>
    </row>
    <row r="20" customFormat="false" ht="15" hidden="false" customHeight="false" outlineLevel="0" collapsed="false">
      <c r="A20" s="7" t="s">
        <v>49</v>
      </c>
      <c r="B20" s="27" t="n">
        <v>24.3</v>
      </c>
      <c r="C20" s="9" t="s">
        <v>50</v>
      </c>
    </row>
    <row r="22" customFormat="false" ht="19.5" hidden="false" customHeight="true" outlineLevel="0" collapsed="false">
      <c r="A22" s="5" t="s">
        <v>51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3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H23" s="14" t="s">
        <v>59</v>
      </c>
      <c r="I23" s="14" t="s">
        <v>60</v>
      </c>
      <c r="J23" s="14" t="s">
        <v>61</v>
      </c>
      <c r="K23" s="14" t="s">
        <v>62</v>
      </c>
    </row>
    <row r="24" customFormat="false" ht="15" hidden="false" customHeight="false" outlineLevel="0" collapsed="false">
      <c r="A24" s="7" t="s">
        <v>63</v>
      </c>
      <c r="B24" s="28" t="n">
        <v>1</v>
      </c>
      <c r="C24" s="28" t="n">
        <v>2</v>
      </c>
      <c r="D24" s="28" t="n">
        <v>3</v>
      </c>
      <c r="E24" s="28" t="n">
        <v>4</v>
      </c>
      <c r="F24" s="28" t="n">
        <v>5</v>
      </c>
      <c r="G24" s="28" t="n">
        <v>6</v>
      </c>
      <c r="H24" s="28" t="n">
        <v>7</v>
      </c>
      <c r="I24" s="28" t="n">
        <v>8</v>
      </c>
      <c r="J24" s="28" t="n">
        <v>9</v>
      </c>
      <c r="K24" s="28" t="n">
        <v>10</v>
      </c>
    </row>
    <row r="25" customFormat="false" ht="15" hidden="false" customHeight="false" outlineLevel="0" collapsed="false">
      <c r="A25" s="7" t="s">
        <v>64</v>
      </c>
      <c r="L25" s="9" t="s">
        <v>65</v>
      </c>
    </row>
    <row r="26" customFormat="false" ht="15" hidden="false" customHeight="false" outlineLevel="0" collapsed="false">
      <c r="A26" s="7" t="s">
        <v>66</v>
      </c>
      <c r="B26" s="19" t="n">
        <f aca="false">$B$8</f>
        <v>0.55</v>
      </c>
      <c r="C26" s="19" t="n">
        <f aca="false">$B$9</f>
        <v>0.25</v>
      </c>
      <c r="D26" s="19" t="n">
        <f aca="false">$B$9+($B$10-$B$9)*(D24-2)/8</f>
        <v>0.2225</v>
      </c>
      <c r="E26" s="19" t="n">
        <f aca="false">$B$9+($B$10-$B$9)*(E24-2)/8</f>
        <v>0.195</v>
      </c>
      <c r="F26" s="19" t="n">
        <f aca="false">$B$9+($B$10-$B$9)*(F24-2)/8</f>
        <v>0.1675</v>
      </c>
      <c r="G26" s="19" t="n">
        <f aca="false">$B$9+($B$10-$B$9)*(G24-2)/8</f>
        <v>0.14</v>
      </c>
      <c r="H26" s="19" t="n">
        <f aca="false">$B$9+($B$10-$B$9)*(H24-2)/8</f>
        <v>0.1125</v>
      </c>
      <c r="I26" s="19" t="n">
        <f aca="false">$B$9+($B$10-$B$9)*(I24-2)/8</f>
        <v>0.085</v>
      </c>
      <c r="J26" s="19" t="n">
        <f aca="false">$B$9+($B$10-$B$9)*(J24-2)/8</f>
        <v>0.0575</v>
      </c>
      <c r="K26" s="19" t="n">
        <f aca="false">$B$9+($B$10-$B$9)*(K24-2)/8</f>
        <v>0.03</v>
      </c>
    </row>
    <row r="27" customFormat="false" ht="15" hidden="false" customHeight="false" outlineLevel="0" collapsed="false">
      <c r="A27" s="7" t="s">
        <v>67</v>
      </c>
      <c r="B27" s="29" t="n">
        <f aca="false">$B$7*(1+B26)</f>
        <v>626.2</v>
      </c>
      <c r="C27" s="29" t="n">
        <f aca="false">B27*(1+C26)</f>
        <v>782.75</v>
      </c>
      <c r="D27" s="29" t="n">
        <f aca="false">C27*(1+D26)</f>
        <v>956.911875</v>
      </c>
      <c r="E27" s="29" t="n">
        <f aca="false">D27*(1+E26)</f>
        <v>1143.509690625</v>
      </c>
      <c r="F27" s="29" t="n">
        <f aca="false">E27*(1+F26)</f>
        <v>1335.04756380469</v>
      </c>
      <c r="G27" s="29" t="n">
        <f aca="false">F27*(1+G26)</f>
        <v>1521.95422273734</v>
      </c>
      <c r="H27" s="29" t="n">
        <f aca="false">G27*(1+H26)</f>
        <v>1693.1740727953</v>
      </c>
      <c r="I27" s="29" t="n">
        <f aca="false">H27*(1+I26)</f>
        <v>1837.0938689829</v>
      </c>
      <c r="J27" s="29" t="n">
        <f aca="false">I27*(1+J26)</f>
        <v>1942.72676644941</v>
      </c>
      <c r="K27" s="29" t="n">
        <f aca="false">J27*(1+K26)</f>
        <v>2001.00856944289</v>
      </c>
    </row>
    <row r="28" customFormat="false" ht="15" hidden="false" customHeight="false" outlineLevel="0" collapsed="false">
      <c r="A28" s="7" t="s">
        <v>68</v>
      </c>
      <c r="B28" s="19" t="n">
        <f aca="false">$B$11+($B$12-$B$11)*MIN(1,B24/$B$13)</f>
        <v>0.642857142857143</v>
      </c>
      <c r="C28" s="19" t="n">
        <f aca="false">$B$11+($B$12-$B$11)*MIN(1,C24/$B$13)</f>
        <v>0.635714285714286</v>
      </c>
      <c r="D28" s="19" t="n">
        <f aca="false">$B$11+($B$12-$B$11)*MIN(1,D24/$B$13)</f>
        <v>0.628571428571429</v>
      </c>
      <c r="E28" s="19" t="n">
        <f aca="false">$B$11+($B$12-$B$11)*MIN(1,E24/$B$13)</f>
        <v>0.621428571428571</v>
      </c>
      <c r="F28" s="19" t="n">
        <f aca="false">$B$11+($B$12-$B$11)*MIN(1,F24/$B$13)</f>
        <v>0.614285714285714</v>
      </c>
      <c r="G28" s="19" t="n">
        <f aca="false">$B$11+($B$12-$B$11)*MIN(1,G24/$B$13)</f>
        <v>0.607142857142857</v>
      </c>
      <c r="H28" s="19" t="n">
        <f aca="false">$B$11+($B$12-$B$11)*MIN(1,H24/$B$13)</f>
        <v>0.6</v>
      </c>
      <c r="I28" s="19" t="n">
        <f aca="false">$B$11+($B$12-$B$11)*MIN(1,I24/$B$13)</f>
        <v>0.6</v>
      </c>
      <c r="J28" s="19" t="n">
        <f aca="false">$B$11+($B$12-$B$11)*MIN(1,J24/$B$13)</f>
        <v>0.6</v>
      </c>
      <c r="K28" s="19" t="n">
        <f aca="false">$B$11+($B$12-$B$11)*MIN(1,K24/$B$13)</f>
        <v>0.6</v>
      </c>
    </row>
    <row r="29" customFormat="false" ht="15" hidden="false" customHeight="false" outlineLevel="0" collapsed="false">
      <c r="A29" s="7" t="s">
        <v>69</v>
      </c>
      <c r="B29" s="29" t="n">
        <f aca="false">B27*B28</f>
        <v>402.557142857143</v>
      </c>
      <c r="C29" s="29" t="n">
        <f aca="false">C27*C28</f>
        <v>497.605357142857</v>
      </c>
      <c r="D29" s="29" t="n">
        <f aca="false">D27*D28</f>
        <v>601.487464285714</v>
      </c>
      <c r="E29" s="29" t="n">
        <f aca="false">E27*E28</f>
        <v>710.609593459821</v>
      </c>
      <c r="F29" s="29" t="n">
        <f aca="false">F27*F28</f>
        <v>820.100646337165</v>
      </c>
      <c r="G29" s="29" t="n">
        <f aca="false">G27*G28</f>
        <v>924.043635233387</v>
      </c>
      <c r="H29" s="29" t="n">
        <f aca="false">H27*H28</f>
        <v>1015.90444367718</v>
      </c>
      <c r="I29" s="29" t="n">
        <f aca="false">I27*I28</f>
        <v>1102.25632138974</v>
      </c>
      <c r="J29" s="29" t="n">
        <f aca="false">J27*J28</f>
        <v>1165.63605986965</v>
      </c>
      <c r="K29" s="29" t="n">
        <f aca="false">K27*K28</f>
        <v>1200.60514166574</v>
      </c>
    </row>
    <row r="30" customFormat="false" ht="15" hidden="false" customHeight="false" outlineLevel="0" collapsed="false">
      <c r="A30" s="7" t="s">
        <v>70</v>
      </c>
      <c r="B30" s="29" t="n">
        <f aca="false">B29*(1-$B$14)</f>
        <v>334.122428571429</v>
      </c>
      <c r="C30" s="29" t="n">
        <f aca="false">C29*(1-$B$14)</f>
        <v>413.012446428571</v>
      </c>
      <c r="D30" s="29" t="n">
        <f aca="false">D29*(1-$B$14)</f>
        <v>499.234595357143</v>
      </c>
      <c r="E30" s="29" t="n">
        <f aca="false">E29*(1-$B$14)</f>
        <v>589.805962571652</v>
      </c>
      <c r="F30" s="29" t="n">
        <f aca="false">F29*(1-$B$14)</f>
        <v>680.683536459847</v>
      </c>
      <c r="G30" s="29" t="n">
        <f aca="false">G29*(1-$B$14)</f>
        <v>766.956217243711</v>
      </c>
      <c r="H30" s="29" t="n">
        <f aca="false">H29*(1-$B$14)</f>
        <v>843.200688252057</v>
      </c>
      <c r="I30" s="29" t="n">
        <f aca="false">I29*(1-$B$14)</f>
        <v>914.872746753482</v>
      </c>
      <c r="J30" s="29" t="n">
        <f aca="false">J29*(1-$B$14)</f>
        <v>967.477929691807</v>
      </c>
      <c r="K30" s="29" t="n">
        <f aca="false">K29*(1-$B$14)</f>
        <v>996.502267582561</v>
      </c>
    </row>
    <row r="31" customFormat="false" ht="15" hidden="false" customHeight="false" outlineLevel="0" collapsed="false">
      <c r="A31" s="7" t="s">
        <v>71</v>
      </c>
      <c r="B31" s="29" t="n">
        <f aca="false">IF(ISNUMBER(B25),B25,(B27-$B$7)/$B$15)</f>
        <v>88.88</v>
      </c>
      <c r="C31" s="29" t="n">
        <f aca="false">IF(ISNUMBER(C25),C25,(C27-B27)/$B$15)</f>
        <v>62.62</v>
      </c>
      <c r="D31" s="29" t="n">
        <f aca="false">IF(ISNUMBER(D25),D25,(D27-C27)/$B$15)</f>
        <v>69.66475</v>
      </c>
      <c r="E31" s="29" t="n">
        <f aca="false">IF(ISNUMBER(E25),E25,(E27-D27)/$B$15)</f>
        <v>74.63912625</v>
      </c>
      <c r="F31" s="29" t="n">
        <f aca="false">IF(ISNUMBER(F25),F25,(F27-E27)/$B$15)</f>
        <v>76.615149271875</v>
      </c>
      <c r="G31" s="29" t="n">
        <f aca="false">IF(ISNUMBER(G25),G25,(G27-F27)/$B$15)</f>
        <v>74.7626635730626</v>
      </c>
      <c r="H31" s="29" t="n">
        <f aca="false">IF(ISNUMBER(H25),H25,(H27-G27)/$B$15)</f>
        <v>68.4879400231805</v>
      </c>
      <c r="I31" s="29" t="n">
        <f aca="false">IF(ISNUMBER(I25),I25,(I27-H27)/$B$15)</f>
        <v>57.56791847504</v>
      </c>
      <c r="J31" s="29" t="n">
        <f aca="false">IF(ISNUMBER(J25),J25,(J27-I27)/$B$15)</f>
        <v>42.2531589866067</v>
      </c>
      <c r="K31" s="29" t="n">
        <f aca="false">IF(ISNUMBER(K25),K25,(K27-J27)/$B$15)</f>
        <v>23.312721197393</v>
      </c>
    </row>
    <row r="32" customFormat="false" ht="15" hidden="false" customHeight="false" outlineLevel="0" collapsed="false">
      <c r="A32" s="11" t="s">
        <v>72</v>
      </c>
      <c r="B32" s="30" t="n">
        <f aca="false">B30-B31</f>
        <v>245.242428571429</v>
      </c>
      <c r="C32" s="30" t="n">
        <f aca="false">C30-C31</f>
        <v>350.392446428571</v>
      </c>
      <c r="D32" s="30" t="n">
        <f aca="false">D30-D31</f>
        <v>429.569845357143</v>
      </c>
      <c r="E32" s="30" t="n">
        <f aca="false">E30-E31</f>
        <v>515.166836321652</v>
      </c>
      <c r="F32" s="30" t="n">
        <f aca="false">F30-F31</f>
        <v>604.068387187972</v>
      </c>
      <c r="G32" s="30" t="n">
        <f aca="false">G30-G31</f>
        <v>692.193553670649</v>
      </c>
      <c r="H32" s="30" t="n">
        <f aca="false">H30-H31</f>
        <v>774.712748228876</v>
      </c>
      <c r="I32" s="30" t="n">
        <f aca="false">I30-I31</f>
        <v>857.304828278442</v>
      </c>
      <c r="J32" s="30" t="n">
        <f aca="false">J30-J31</f>
        <v>925.2247707052</v>
      </c>
      <c r="K32" s="30" t="n">
        <f aca="false">K30-K31</f>
        <v>973.189546385168</v>
      </c>
    </row>
    <row r="33" customFormat="false" ht="15" hidden="false" customHeight="false" outlineLevel="0" collapsed="false">
      <c r="A33" s="7" t="s">
        <v>73</v>
      </c>
      <c r="B33" s="31" t="n">
        <f aca="false">1/(1+$B$18)^(B24-0.5)</f>
        <v>0.948048318324232</v>
      </c>
      <c r="C33" s="31" t="n">
        <f aca="false">1/(1+$B$18)^(C24-0.5)</f>
        <v>0.852101670253669</v>
      </c>
      <c r="D33" s="31" t="n">
        <f aca="false">1/(1+$B$18)^(D24-0.5)</f>
        <v>0.765865243801608</v>
      </c>
      <c r="E33" s="31" t="n">
        <f aca="false">1/(1+$B$18)^(E24-0.5)</f>
        <v>0.688356321950034</v>
      </c>
      <c r="F33" s="31" t="n">
        <f aca="false">1/(1+$B$18)^(F24-0.5)</f>
        <v>0.618691642953473</v>
      </c>
      <c r="G33" s="31" t="n">
        <f aca="false">1/(1+$B$18)^(G24-0.5)</f>
        <v>0.556077335029186</v>
      </c>
      <c r="H33" s="31" t="n">
        <f aca="false">1/(1+$B$18)^(H24-0.5)</f>
        <v>0.499799869700869</v>
      </c>
      <c r="I33" s="31" t="n">
        <f aca="false">1/(1+$B$18)^(I24-0.5)</f>
        <v>0.449217930703639</v>
      </c>
      <c r="J33" s="31" t="n">
        <f aca="false">1/(1+$B$18)^(J24-0.5)</f>
        <v>0.403755105791514</v>
      </c>
      <c r="K33" s="31" t="n">
        <f aca="false">1/(1+$B$18)^(K24-0.5)</f>
        <v>0.36289331816602</v>
      </c>
    </row>
    <row r="34" customFormat="false" ht="15" hidden="false" customHeight="false" outlineLevel="0" collapsed="false">
      <c r="A34" s="7" t="s">
        <v>74</v>
      </c>
      <c r="B34" s="29" t="n">
        <f aca="false">B32*B33</f>
        <v>232.501671988893</v>
      </c>
      <c r="C34" s="29" t="n">
        <f aca="false">C32*C33</f>
        <v>298.569988846055</v>
      </c>
      <c r="D34" s="29" t="n">
        <f aca="false">D32*D33</f>
        <v>328.992614344267</v>
      </c>
      <c r="E34" s="29" t="n">
        <f aca="false">E32*E33</f>
        <v>354.618348641007</v>
      </c>
      <c r="F34" s="29" t="n">
        <f aca="false">F32*F33</f>
        <v>373.732062925581</v>
      </c>
      <c r="G34" s="29" t="n">
        <f aca="false">G32*G33</f>
        <v>384.913146649557</v>
      </c>
      <c r="H34" s="29" t="n">
        <f aca="false">H32*H33</f>
        <v>387.201330620394</v>
      </c>
      <c r="I34" s="29" t="n">
        <f aca="false">I32*I33</f>
        <v>385.11670094148</v>
      </c>
      <c r="J34" s="29" t="n">
        <f aca="false">J32*J33</f>
        <v>373.564225177008</v>
      </c>
      <c r="K34" s="29" t="n">
        <f aca="false">K32*K33</f>
        <v>353.163983692198</v>
      </c>
    </row>
    <row r="36" customFormat="false" ht="19.5" hidden="false" customHeight="true" outlineLevel="0" collapsed="false">
      <c r="A36" s="5" t="s">
        <v>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76</v>
      </c>
      <c r="B37" s="29" t="n">
        <f aca="false">SUM(B34:K34)</f>
        <v>3472.37407382644</v>
      </c>
    </row>
    <row r="38" customFormat="false" ht="15" hidden="false" customHeight="false" outlineLevel="0" collapsed="false">
      <c r="A38" s="7" t="s">
        <v>77</v>
      </c>
      <c r="B38" s="29" t="n">
        <f aca="false">K29*(1+$B$10)*(1-$B$14)</f>
        <v>1026.39733561004</v>
      </c>
    </row>
    <row r="39" customFormat="false" ht="15" hidden="false" customHeight="false" outlineLevel="0" collapsed="false">
      <c r="A39" s="7" t="s">
        <v>78</v>
      </c>
      <c r="B39" s="29" t="n">
        <f aca="false">B38*(1-$B$10/$B$16)/($B$18-$B$10)</f>
        <v>10934.9837207849</v>
      </c>
      <c r="C39" s="9" t="s">
        <v>79</v>
      </c>
    </row>
    <row r="40" customFormat="false" ht="15" hidden="false" customHeight="false" outlineLevel="0" collapsed="false">
      <c r="A40" s="7" t="s">
        <v>80</v>
      </c>
      <c r="B40" s="29" t="n">
        <f aca="false">B39/(1+$B$18)^9.5</f>
        <v>3968.23252652705</v>
      </c>
    </row>
    <row r="41" customFormat="false" ht="15" hidden="false" customHeight="false" outlineLevel="0" collapsed="false">
      <c r="A41" s="7" t="s">
        <v>81</v>
      </c>
      <c r="B41" s="29" t="n">
        <f aca="false">B37+B40</f>
        <v>7440.60660035349</v>
      </c>
    </row>
    <row r="42" customFormat="false" ht="15" hidden="false" customHeight="false" outlineLevel="0" collapsed="false">
      <c r="A42" s="7" t="s">
        <v>82</v>
      </c>
      <c r="B42" s="29" t="n">
        <f aca="false">B41+$B$19</f>
        <v>7440.60660035349</v>
      </c>
    </row>
    <row r="43" customFormat="false" ht="15" hidden="false" customHeight="false" outlineLevel="0" collapsed="false">
      <c r="A43" s="11" t="s">
        <v>23</v>
      </c>
      <c r="B43" s="17" t="n">
        <f aca="false">B42/$B$20</f>
        <v>306.197802483683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Nvidia (NVDA)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