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<sst xmlns="http://schemas.openxmlformats.org/spreadsheetml/2006/main" count="187" uniqueCount="86">
  <si>
    <t xml:space="preserve">LDB FINANCE</t>
  </si>
  <si>
    <t xml:space="preserve">L3Harris (LHX)</t>
  </si>
  <si>
    <t xml:space="preserve">Ten-year discounted free cash flow to the firm, following the 2028 framework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</si>
  <si>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</si>
  <si>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</si>
  <si>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</si>
  <si>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</si>
  <si>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</si>
  <si>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</si>
  <si>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Defense peers; the measured 0.61 understates risk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</si>
  <si>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</si>
  <si>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</si>
  <si>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</si>
  <si>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</si>
  <si>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</si>
  <si>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</si>
  <si>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</si>
  <si>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</si>
  <si>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</si>
  <si>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</si>
  <si>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</si>
  <si>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</si>
  <si>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</si>
  <si>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</si>
  <si>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</si>
  <si>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</si>
  <si>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</si>
  <si>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</si>
  <si>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</si>
  <si>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</si>
  <si>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</si>
  <si>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</si>
  <si>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</si>
  <si>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</si>
  <si>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</si>
  <si>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</si>
  <si>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</si>
  <si>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</si>
  <si>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https://github.com/ldiazbusquets/finance/blob/main/_source/models/lhx.py, and checked against it each time the file is made.</t>
  </si>
  <si>
    <t xml:space="preserve">For education only. Not investment advice.</t>
  </si>
  <si>
    <t xml:space="preserve">Base case: free cash flow to the firm from guidance, $ billions</t>
  </si>
  <si>
    <t xml:space="preserve">INPUTS</t>
  </si>
  <si>
    <t xml:space="preserve">Revenue, 2026 ($B)</t>
  </si>
  <si>
    <t xml:space="preserve">Guidance midpoint</t>
  </si>
  <si>
    <t xml:space="preserve">Revenue growth, 2027</t>
  </si>
  <si>
    <t xml:space="preserve">Revenue growth, 2028</t>
  </si>
  <si>
    <t xml:space="preserve">Then fades to terminal growth by year 10</t>
  </si>
  <si>
    <t xml:space="preserve">Terminal growth</t>
  </si>
  <si>
    <t xml:space="preserve">Free cash flow to the firm, 2027 guidance ($B)</t>
  </si>
  <si>
    <t xml:space="preserve">Free cash flow guidance plus after-tax interest</t>
  </si>
  <si>
    <t xml:space="preserve">Revenue behind that guidance, 2027 ($B)</t>
  </si>
  <si>
    <t xml:space="preserve">Free cash flow to the firm, 2028 guidance ($B)</t>
  </si>
  <si>
    <t xml:space="preserve">Revenue behind that guidance, 2028 ($B)</t>
  </si>
  <si>
    <t xml:space="preserve">Cash conversion after 2028 (share of revenue)</t>
  </si>
  <si>
    <t xml:space="preserve">Also caps 2027 and 2028</t>
  </si>
  <si>
    <t xml:space="preserve">Discount rate shift for this case</t>
  </si>
  <si>
    <t xml:space="preserve">Net debt and preferred ($B)</t>
  </si>
  <si>
    <t xml:space="preserve">$9.5B net debt + $1.0B Pentagon preferred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</si>
  <si>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</si>
  <si>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</si>
  <si>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</si>
  <si>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</si>
  <si>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</si>
  <si>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</si>
  <si>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</si>
  <si>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</si>
  <si>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</si>
  <si>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</si>
  <si>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</si>
  <si>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</si>
  <si>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</si>
  <si>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Revenue growth</t>
  </si>
  <si>
    <t xml:space="preserve">Revenue ($B)</t>
  </si>
  <si>
    <t xml:space="preserve">Cash conversion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</si>
  <si>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</si>
  <si>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</si>
  <si>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</si>
  <si>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</si>
  <si>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</si>
  <si>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Terminal value ($B)</t>
  </si>
  <si>
    <t xml:space="preserve">FCFF10 x (1 + g)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</si>
  <si>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</si>
  <si>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</si>
  <si>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</si>
  <si>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free cash flow to the firm from guidance, $ billions</t>
  </si>
  <si>
    <t xml:space="preserve">Bull case: free cash flow to the firm from guidance,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</si>
</sst>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#,##0.00;\(#,##0.00\);\-"/>
    <numFmt numFmtId="172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248.77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0.1873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46.594621</v>
      </c>
    </row>
    <row r="14" customFormat="false" ht="15" hidden="false" customHeight="false" outlineLevel="0" collapsed="false">
      <c r="A14" s="7" t="s">
        <v>16</v>
      </c>
      <c r="B14" s="15" t="n">
        <v>11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0.0790868879491368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Bear!$B$37</f>
        <v>231.407582338595</v>
      </c>
      <c r="C21" s="21" t="n">
        <f aca="false">Base!$B$37</f>
        <v>435.578646188294</v>
      </c>
      <c r="D21" s="21" t="n">
        <f aca="false">Bull!$B$37</f>
        <v>651.649844223677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438.553679734715</v>
      </c>
    </row>
    <row r="24" customFormat="false" ht="15" hidden="false" customHeight="false" outlineLevel="0" collapsed="false">
      <c r="A24" s="7" t="s">
        <v>29</v>
      </c>
      <c r="C24" s="12" t="n">
        <v>248.77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0.762888128531233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(SUMPRODUCT(Base!$B$27:$K$27,1/(1+B29)^(Base!$B$23:$K$23-0.5))+Base!$K$27*(1+Base!$B$10)/(B29-Base!$B$10)/(1+B29)^9.5+Base!$B$18)/Base!$B$19</f>
        <v>547.375520811776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(SUMPRODUCT(Base!$B$27:$K$27,1/(1+B30)^(Base!$B$23:$K$23-0.5))+Base!$K$27*(1+Base!$B$10)/(B30-Base!$B$10)/(1+B30)^9.5+Base!$B$18)/Base!$B$19</f>
        <v>480.263524899336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(SUMPRODUCT(Base!$B$27:$K$27,1/(1+B31)^(Base!$B$23:$K$23-0.5))+Base!$K$27*(1+Base!$B$10)/(B31-Base!$B$10)/(1+B31)^9.5+Base!$B$18)/Base!$B$19</f>
        <v>426.595211191934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(SUMPRODUCT(Base!$B$27:$K$27,1/(1+B32)^(Base!$B$23:$K$23-0.5))+Base!$K$27*(1+Base!$B$10)/(B32-Base!$B$10)/(1+B32)^9.5+Base!$B$18)/Base!$B$19</f>
        <v>382.703470958888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(SUMPRODUCT(Base!$B$27:$K$27,1/(1+B33)^(Base!$B$23:$K$23-0.5))+Base!$K$27*(1+Base!$B$10)/(B33-Base!$B$10)/(1+B33)^9.5+Base!$B$18)/Base!$B$19</f>
        <v>346.143587721118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27" t="n">
        <v>23.45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0.075</v>
      </c>
    </row>
    <row r="9" customFormat="false" ht="15" hidden="false" customHeight="false" outlineLevel="0" collapsed="false">
      <c r="A9" s="7" t="s">
        <v>45</v>
      </c>
      <c r="B9" s="16" t="n">
        <v>0.075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27" t="n">
        <v>3.65</v>
      </c>
      <c r="C11" s="9" t="s">
        <v>49</v>
      </c>
    </row>
    <row r="12" customFormat="false" ht="15" hidden="false" customHeight="false" outlineLevel="0" collapsed="false">
      <c r="A12" s="7" t="s">
        <v>50</v>
      </c>
      <c r="B12" s="27" t="n">
        <v>25.2</v>
      </c>
    </row>
    <row r="13" customFormat="false" ht="15" hidden="false" customHeight="false" outlineLevel="0" collapsed="false">
      <c r="A13" s="7" t="s">
        <v>51</v>
      </c>
      <c r="B13" s="27" t="n">
        <v>3.95</v>
      </c>
    </row>
    <row r="14" customFormat="false" ht="15" hidden="false" customHeight="false" outlineLevel="0" collapsed="false">
      <c r="A14" s="7" t="s">
        <v>52</v>
      </c>
      <c r="B14" s="27" t="n">
        <v>27.1</v>
      </c>
    </row>
    <row r="15" customFormat="false" ht="15" hidden="false" customHeight="false" outlineLevel="0" collapsed="false">
      <c r="A15" s="7" t="s">
        <v>53</v>
      </c>
      <c r="B15" s="16" t="n">
        <v>0.146</v>
      </c>
      <c r="C15" s="9" t="s">
        <v>54</v>
      </c>
    </row>
    <row r="16" customFormat="false" ht="15" hidden="false" customHeight="false" outlineLevel="0" collapsed="false">
      <c r="A16" s="7" t="s">
        <v>55</v>
      </c>
      <c r="B16" s="8" t="n">
        <v>0</v>
      </c>
    </row>
    <row r="17" customFormat="false" ht="15" hidden="false" customHeight="false" outlineLevel="0" collapsed="false">
      <c r="A17" s="7" t="s">
        <v>33</v>
      </c>
      <c r="B17" s="28" t="n">
        <f aca="false">Summary!$B$17+B16</f>
        <v>0.0790868879491368</v>
      </c>
    </row>
    <row r="18" customFormat="false" ht="15" hidden="false" customHeight="false" outlineLevel="0" collapsed="false">
      <c r="A18" s="7" t="s">
        <v>56</v>
      </c>
      <c r="B18" s="27" t="n">
        <v>-10.5</v>
      </c>
      <c r="C18" s="9" t="s">
        <v>57</v>
      </c>
    </row>
    <row r="19" customFormat="false" ht="15" hidden="false" customHeight="false" outlineLevel="0" collapsed="false">
      <c r="A19" s="7" t="s">
        <v>13</v>
      </c>
      <c r="B19" s="13" t="n">
        <v>0.1873</v>
      </c>
    </row>
    <row r="21" customFormat="false" ht="19.5" hidden="false" customHeight="true" outlineLevel="0" collapsed="false">
      <c r="A21" s="5" t="s">
        <v>58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customFormat="false" ht="30" hidden="false" customHeight="true" outlineLevel="0" collapsed="false">
      <c r="A22" s="19" t="s">
        <v>59</v>
      </c>
      <c r="B22" s="20" t="s">
        <v>60</v>
      </c>
      <c r="C22" s="20" t="s">
        <v>61</v>
      </c>
      <c r="D22" s="20" t="s">
        <v>62</v>
      </c>
      <c r="E22" s="20" t="s">
        <v>63</v>
      </c>
      <c r="F22" s="20" t="s">
        <v>64</v>
      </c>
      <c r="G22" s="20" t="s">
        <v>65</v>
      </c>
      <c r="H22" s="20" t="s">
        <v>66</v>
      </c>
      <c r="I22" s="20" t="s">
        <v>67</v>
      </c>
      <c r="J22" s="20" t="s">
        <v>68</v>
      </c>
      <c r="K22" s="20" t="s">
        <v>69</v>
      </c>
    </row>
    <row r="23" customFormat="false" ht="15" hidden="false" customHeight="false" outlineLevel="0" collapsed="false">
      <c r="A23" s="7" t="s">
        <v>70</v>
      </c>
      <c r="B23" s="29" t="n">
        <v>1</v>
      </c>
      <c r="C23" s="29" t="n">
        <v>2</v>
      </c>
      <c r="D23" s="29" t="n">
        <v>3</v>
      </c>
      <c r="E23" s="29" t="n">
        <v>4</v>
      </c>
      <c r="F23" s="29" t="n">
        <v>5</v>
      </c>
      <c r="G23" s="29" t="n">
        <v>6</v>
      </c>
      <c r="H23" s="29" t="n">
        <v>7</v>
      </c>
      <c r="I23" s="29" t="n">
        <v>8</v>
      </c>
      <c r="J23" s="29" t="n">
        <v>9</v>
      </c>
      <c r="K23" s="29" t="n">
        <v>10</v>
      </c>
    </row>
    <row r="24" customFormat="false" ht="15" hidden="false" customHeight="false" outlineLevel="0" collapsed="false">
      <c r="A24" s="7" t="s">
        <v>71</v>
      </c>
      <c r="B24" s="23" t="n">
        <f aca="false">$B$8</f>
        <v>0.075</v>
      </c>
      <c r="C24" s="23" t="n">
        <f aca="false">$B$9</f>
        <v>0.075</v>
      </c>
      <c r="D24" s="23" t="n">
        <f aca="false">$B$9+($B$10-$B$9)*(D23-2)/8</f>
        <v>0.069375</v>
      </c>
      <c r="E24" s="23" t="n">
        <f aca="false">$B$9+($B$10-$B$9)*(E23-2)/8</f>
        <v>0.06375</v>
      </c>
      <c r="F24" s="23" t="n">
        <f aca="false">$B$9+($B$10-$B$9)*(F23-2)/8</f>
        <v>0.058125</v>
      </c>
      <c r="G24" s="23" t="n">
        <f aca="false">$B$9+($B$10-$B$9)*(G23-2)/8</f>
        <v>0.0525</v>
      </c>
      <c r="H24" s="23" t="n">
        <f aca="false">$B$9+($B$10-$B$9)*(H23-2)/8</f>
        <v>0.046875</v>
      </c>
      <c r="I24" s="23" t="n">
        <f aca="false">$B$9+($B$10-$B$9)*(I23-2)/8</f>
        <v>0.04125</v>
      </c>
      <c r="J24" s="23" t="n">
        <f aca="false">$B$9+($B$10-$B$9)*(J23-2)/8</f>
        <v>0.035625</v>
      </c>
      <c r="K24" s="23" t="n">
        <f aca="false">$B$9+($B$10-$B$9)*(K23-2)/8</f>
        <v>0.03</v>
      </c>
    </row>
    <row r="25" customFormat="false" ht="15" hidden="false" customHeight="false" outlineLevel="0" collapsed="false">
      <c r="A25" s="7" t="s">
        <v>72</v>
      </c>
      <c r="B25" s="30" t="n">
        <f aca="false">$B$7*(1+B24)</f>
        <v>25.20875</v>
      </c>
      <c r="C25" s="30" t="n">
        <f aca="false">B25*(1+C24)</f>
        <v>27.09940625</v>
      </c>
      <c r="D25" s="30" t="n">
        <f aca="false">C25*(1+D24)</f>
        <v>28.9794275585937</v>
      </c>
      <c r="E25" s="30" t="n">
        <f aca="false">D25*(1+E24)</f>
        <v>30.8268660654541</v>
      </c>
      <c r="F25" s="30" t="n">
        <f aca="false">E25*(1+F24)</f>
        <v>32.6186776555086</v>
      </c>
      <c r="G25" s="30" t="n">
        <f aca="false">F25*(1+G24)</f>
        <v>34.3311582324228</v>
      </c>
      <c r="H25" s="30" t="n">
        <f aca="false">G25*(1+H24)</f>
        <v>35.9404312745676</v>
      </c>
      <c r="I25" s="30" t="n">
        <f aca="false">H25*(1+I24)</f>
        <v>37.4229740646436</v>
      </c>
      <c r="J25" s="30" t="n">
        <f aca="false">I25*(1+J24)</f>
        <v>38.7561675156965</v>
      </c>
      <c r="K25" s="30" t="n">
        <f aca="false">J25*(1+K24)</f>
        <v>39.9188525411674</v>
      </c>
    </row>
    <row r="26" customFormat="false" ht="15" hidden="false" customHeight="false" outlineLevel="0" collapsed="false">
      <c r="A26" s="7" t="s">
        <v>73</v>
      </c>
      <c r="B26" s="23" t="n">
        <f aca="false">MIN($B$11/$B$12,$B$15)</f>
        <v>0.14484126984127</v>
      </c>
      <c r="C26" s="23" t="n">
        <f aca="false">MIN($B$13/$B$14,$B$15)</f>
        <v>0.145756457564576</v>
      </c>
      <c r="D26" s="23" t="n">
        <f aca="false">$B$15</f>
        <v>0.146</v>
      </c>
      <c r="E26" s="23" t="n">
        <f aca="false">$B$15</f>
        <v>0.146</v>
      </c>
      <c r="F26" s="23" t="n">
        <f aca="false">$B$15</f>
        <v>0.146</v>
      </c>
      <c r="G26" s="23" t="n">
        <f aca="false">$B$15</f>
        <v>0.146</v>
      </c>
      <c r="H26" s="23" t="n">
        <f aca="false">$B$15</f>
        <v>0.146</v>
      </c>
      <c r="I26" s="23" t="n">
        <f aca="false">$B$15</f>
        <v>0.146</v>
      </c>
      <c r="J26" s="23" t="n">
        <f aca="false">$B$15</f>
        <v>0.146</v>
      </c>
      <c r="K26" s="23" t="n">
        <f aca="false">$B$15</f>
        <v>0.146</v>
      </c>
    </row>
    <row r="27" customFormat="false" ht="15" hidden="false" customHeight="false" outlineLevel="0" collapsed="false">
      <c r="A27" s="17" t="s">
        <v>74</v>
      </c>
      <c r="B27" s="31" t="n">
        <f aca="false">B25*B26</f>
        <v>3.65126736111111</v>
      </c>
      <c r="C27" s="31" t="n">
        <f aca="false">C25*C26</f>
        <v>3.94991345710332</v>
      </c>
      <c r="D27" s="31" t="n">
        <f aca="false">D25*D26</f>
        <v>4.23099642355469</v>
      </c>
      <c r="E27" s="31" t="n">
        <f aca="false">E25*E26</f>
        <v>4.5007224455563</v>
      </c>
      <c r="F27" s="31" t="n">
        <f aca="false">F25*F26</f>
        <v>4.76232693770426</v>
      </c>
      <c r="G27" s="31" t="n">
        <f aca="false">G25*G26</f>
        <v>5.01234910193373</v>
      </c>
      <c r="H27" s="31" t="n">
        <f aca="false">H25*H26</f>
        <v>5.24730296608688</v>
      </c>
      <c r="I27" s="31" t="n">
        <f aca="false">I25*I26</f>
        <v>5.46375421343796</v>
      </c>
      <c r="J27" s="31" t="n">
        <f aca="false">J25*J26</f>
        <v>5.65840045729169</v>
      </c>
      <c r="K27" s="31" t="n">
        <f aca="false">K25*K26</f>
        <v>5.82815247101044</v>
      </c>
    </row>
    <row r="28" customFormat="false" ht="15" hidden="false" customHeight="false" outlineLevel="0" collapsed="false">
      <c r="A28" s="7" t="s">
        <v>75</v>
      </c>
      <c r="B28" s="32" t="n">
        <f aca="false">1/(1+$B$17)^(B23-0.5)</f>
        <v>0.962657485698246</v>
      </c>
      <c r="C28" s="32" t="n">
        <f aca="false">1/(1+$B$17)^(C23-0.5)</f>
        <v>0.892103774449367</v>
      </c>
      <c r="D28" s="32" t="n">
        <f aca="false">1/(1+$B$17)^(D23-0.5)</f>
        <v>0.826720984576931</v>
      </c>
      <c r="E28" s="32" t="n">
        <f aca="false">1/(1+$B$17)^(E23-0.5)</f>
        <v>0.766130136330503</v>
      </c>
      <c r="F28" s="32" t="n">
        <f aca="false">1/(1+$B$17)^(F23-0.5)</f>
        <v>0.709980025599769</v>
      </c>
      <c r="G28" s="32" t="n">
        <f aca="false">1/(1+$B$17)^(G23-0.5)</f>
        <v>0.657945188222169</v>
      </c>
      <c r="H28" s="32" t="n">
        <f aca="false">1/(1+$B$17)^(H23-0.5)</f>
        <v>0.609724013487579</v>
      </c>
      <c r="I28" s="32" t="n">
        <f aca="false">1/(1+$B$17)^(I23-0.5)</f>
        <v>0.565036995905299</v>
      </c>
      <c r="J28" s="32" t="n">
        <f aca="false">1/(1+$B$17)^(J23-0.5)</f>
        <v>0.523625115100029</v>
      </c>
      <c r="K28" s="32" t="n">
        <f aca="false">1/(1+$B$17)^(K23-0.5)</f>
        <v>0.485248334446179</v>
      </c>
    </row>
    <row r="29" customFormat="false" ht="15" hidden="false" customHeight="false" outlineLevel="0" collapsed="false">
      <c r="A29" s="7" t="s">
        <v>76</v>
      </c>
      <c r="B29" s="30" t="n">
        <f aca="false">B27*B28</f>
        <v>3.51491985745929</v>
      </c>
      <c r="C29" s="30" t="n">
        <f aca="false">C27*C28</f>
        <v>3.52373270383022</v>
      </c>
      <c r="D29" s="30" t="n">
        <f aca="false">D27*D28</f>
        <v>3.4978535290226</v>
      </c>
      <c r="E29" s="30" t="n">
        <f aca="false">E27*E28</f>
        <v>3.4481391007998</v>
      </c>
      <c r="F29" s="30" t="n">
        <f aca="false">F27*F28</f>
        <v>3.38115700114574</v>
      </c>
      <c r="G29" s="30" t="n">
        <f aca="false">G27*G28</f>
        <v>3.29785097330701</v>
      </c>
      <c r="H29" s="30" t="n">
        <f aca="false">H27*H28</f>
        <v>3.19940662446776</v>
      </c>
      <c r="I29" s="30" t="n">
        <f aca="false">I27*I28</f>
        <v>3.08722326712591</v>
      </c>
      <c r="J29" s="30" t="n">
        <f aca="false">J27*J28</f>
        <v>2.96288059073142</v>
      </c>
      <c r="K29" s="30" t="n">
        <f aca="false">K27*K28</f>
        <v>2.8281012794562</v>
      </c>
    </row>
    <row r="31" customFormat="false" ht="19.5" hidden="false" customHeight="true" outlineLevel="0" collapsed="false">
      <c r="A31" s="5" t="s">
        <v>77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customFormat="false" ht="15" hidden="false" customHeight="false" outlineLevel="0" collapsed="false">
      <c r="A32" s="7" t="s">
        <v>78</v>
      </c>
      <c r="B32" s="30" t="n">
        <f aca="false">SUM(B29:K29)</f>
        <v>32.7412649273459</v>
      </c>
    </row>
    <row r="33" customFormat="false" ht="15" hidden="false" customHeight="false" outlineLevel="0" collapsed="false">
      <c r="A33" s="7" t="s">
        <v>79</v>
      </c>
      <c r="B33" s="30" t="n">
        <f aca="false">K27*(1+$B$10)/($B$17-$B$10)</f>
        <v>122.293290447766</v>
      </c>
      <c r="C33" s="9" t="s">
        <v>80</v>
      </c>
    </row>
    <row r="34" customFormat="false" ht="15" hidden="false" customHeight="false" outlineLevel="0" collapsed="false">
      <c r="A34" s="7" t="s">
        <v>81</v>
      </c>
      <c r="B34" s="30" t="n">
        <f aca="false">B33/(1+$B$17)^9.5</f>
        <v>59.3426155037215</v>
      </c>
    </row>
    <row r="35" customFormat="false" ht="15" hidden="false" customHeight="false" outlineLevel="0" collapsed="false">
      <c r="A35" s="7" t="s">
        <v>82</v>
      </c>
      <c r="B35" s="30" t="n">
        <f aca="false">B32+B34</f>
        <v>92.0838804310674</v>
      </c>
    </row>
    <row r="36" customFormat="false" ht="15" hidden="false" customHeight="false" outlineLevel="0" collapsed="false">
      <c r="A36" s="7" t="s">
        <v>83</v>
      </c>
      <c r="B36" s="30" t="n">
        <f aca="false">B35+$B$18</f>
        <v>81.5838804310674</v>
      </c>
    </row>
    <row r="37" customFormat="false" ht="15" hidden="false" customHeight="false" outlineLevel="0" collapsed="false">
      <c r="A37" s="17" t="s">
        <v>34</v>
      </c>
      <c r="B37" s="22" t="n">
        <f aca="false">B36/$B$19</f>
        <v>435.578646188294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27" t="n">
        <v>23.45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0.04</v>
      </c>
    </row>
    <row r="9" customFormat="false" ht="15" hidden="false" customHeight="false" outlineLevel="0" collapsed="false">
      <c r="A9" s="7" t="s">
        <v>45</v>
      </c>
      <c r="B9" s="16" t="n">
        <v>0.03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27" t="n">
        <v>3.65</v>
      </c>
      <c r="C11" s="9" t="s">
        <v>49</v>
      </c>
    </row>
    <row r="12" customFormat="false" ht="15" hidden="false" customHeight="false" outlineLevel="0" collapsed="false">
      <c r="A12" s="7" t="s">
        <v>50</v>
      </c>
      <c r="B12" s="27" t="n">
        <v>25.2</v>
      </c>
    </row>
    <row r="13" customFormat="false" ht="15" hidden="false" customHeight="false" outlineLevel="0" collapsed="false">
      <c r="A13" s="7" t="s">
        <v>51</v>
      </c>
      <c r="B13" s="27" t="n">
        <v>3.95</v>
      </c>
    </row>
    <row r="14" customFormat="false" ht="15" hidden="false" customHeight="false" outlineLevel="0" collapsed="false">
      <c r="A14" s="7" t="s">
        <v>52</v>
      </c>
      <c r="B14" s="27" t="n">
        <v>27.1</v>
      </c>
    </row>
    <row r="15" customFormat="false" ht="15" hidden="false" customHeight="false" outlineLevel="0" collapsed="false">
      <c r="A15" s="7" t="s">
        <v>53</v>
      </c>
      <c r="B15" s="16" t="n">
        <v>0.125</v>
      </c>
      <c r="C15" s="9" t="s">
        <v>54</v>
      </c>
    </row>
    <row r="16" customFormat="false" ht="15" hidden="false" customHeight="false" outlineLevel="0" collapsed="false">
      <c r="A16" s="7" t="s">
        <v>55</v>
      </c>
      <c r="B16" s="8" t="n">
        <v>0.01</v>
      </c>
    </row>
    <row r="17" customFormat="false" ht="15" hidden="false" customHeight="false" outlineLevel="0" collapsed="false">
      <c r="A17" s="7" t="s">
        <v>33</v>
      </c>
      <c r="B17" s="28" t="n">
        <f aca="false">Summary!$B$17+B16</f>
        <v>0.0890868879491368</v>
      </c>
    </row>
    <row r="18" customFormat="false" ht="15" hidden="false" customHeight="false" outlineLevel="0" collapsed="false">
      <c r="A18" s="7" t="s">
        <v>56</v>
      </c>
      <c r="B18" s="27" t="n">
        <v>-10.5</v>
      </c>
      <c r="C18" s="9" t="s">
        <v>57</v>
      </c>
    </row>
    <row r="19" customFormat="false" ht="15" hidden="false" customHeight="false" outlineLevel="0" collapsed="false">
      <c r="A19" s="7" t="s">
        <v>13</v>
      </c>
      <c r="B19" s="13" t="n">
        <v>0.1873</v>
      </c>
    </row>
    <row r="21" customFormat="false" ht="19.5" hidden="false" customHeight="true" outlineLevel="0" collapsed="false">
      <c r="A21" s="5" t="s">
        <v>58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customFormat="false" ht="30" hidden="false" customHeight="true" outlineLevel="0" collapsed="false">
      <c r="A22" s="19" t="s">
        <v>59</v>
      </c>
      <c r="B22" s="20" t="s">
        <v>60</v>
      </c>
      <c r="C22" s="20" t="s">
        <v>61</v>
      </c>
      <c r="D22" s="20" t="s">
        <v>62</v>
      </c>
      <c r="E22" s="20" t="s">
        <v>63</v>
      </c>
      <c r="F22" s="20" t="s">
        <v>64</v>
      </c>
      <c r="G22" s="20" t="s">
        <v>65</v>
      </c>
      <c r="H22" s="20" t="s">
        <v>66</v>
      </c>
      <c r="I22" s="20" t="s">
        <v>67</v>
      </c>
      <c r="J22" s="20" t="s">
        <v>68</v>
      </c>
      <c r="K22" s="20" t="s">
        <v>69</v>
      </c>
    </row>
    <row r="23" customFormat="false" ht="15" hidden="false" customHeight="false" outlineLevel="0" collapsed="false">
      <c r="A23" s="7" t="s">
        <v>70</v>
      </c>
      <c r="B23" s="29" t="n">
        <v>1</v>
      </c>
      <c r="C23" s="29" t="n">
        <v>2</v>
      </c>
      <c r="D23" s="29" t="n">
        <v>3</v>
      </c>
      <c r="E23" s="29" t="n">
        <v>4</v>
      </c>
      <c r="F23" s="29" t="n">
        <v>5</v>
      </c>
      <c r="G23" s="29" t="n">
        <v>6</v>
      </c>
      <c r="H23" s="29" t="n">
        <v>7</v>
      </c>
      <c r="I23" s="29" t="n">
        <v>8</v>
      </c>
      <c r="J23" s="29" t="n">
        <v>9</v>
      </c>
      <c r="K23" s="29" t="n">
        <v>10</v>
      </c>
    </row>
    <row r="24" customFormat="false" ht="15" hidden="false" customHeight="false" outlineLevel="0" collapsed="false">
      <c r="A24" s="7" t="s">
        <v>71</v>
      </c>
      <c r="B24" s="23" t="n">
        <f aca="false">$B$8</f>
        <v>0.04</v>
      </c>
      <c r="C24" s="23" t="n">
        <f aca="false">$B$9</f>
        <v>0.03</v>
      </c>
      <c r="D24" s="23" t="n">
        <f aca="false">$B$9+($B$10-$B$9)*(D23-2)/8</f>
        <v>0.03</v>
      </c>
      <c r="E24" s="23" t="n">
        <f aca="false">$B$9+($B$10-$B$9)*(E23-2)/8</f>
        <v>0.03</v>
      </c>
      <c r="F24" s="23" t="n">
        <f aca="false">$B$9+($B$10-$B$9)*(F23-2)/8</f>
        <v>0.03</v>
      </c>
      <c r="G24" s="23" t="n">
        <f aca="false">$B$9+($B$10-$B$9)*(G23-2)/8</f>
        <v>0.03</v>
      </c>
      <c r="H24" s="23" t="n">
        <f aca="false">$B$9+($B$10-$B$9)*(H23-2)/8</f>
        <v>0.03</v>
      </c>
      <c r="I24" s="23" t="n">
        <f aca="false">$B$9+($B$10-$B$9)*(I23-2)/8</f>
        <v>0.03</v>
      </c>
      <c r="J24" s="23" t="n">
        <f aca="false">$B$9+($B$10-$B$9)*(J23-2)/8</f>
        <v>0.03</v>
      </c>
      <c r="K24" s="23" t="n">
        <f aca="false">$B$9+($B$10-$B$9)*(K23-2)/8</f>
        <v>0.03</v>
      </c>
    </row>
    <row r="25" customFormat="false" ht="15" hidden="false" customHeight="false" outlineLevel="0" collapsed="false">
      <c r="A25" s="7" t="s">
        <v>72</v>
      </c>
      <c r="B25" s="30" t="n">
        <f aca="false">$B$7*(1+B24)</f>
        <v>24.388</v>
      </c>
      <c r="C25" s="30" t="n">
        <f aca="false">B25*(1+C24)</f>
        <v>25.11964</v>
      </c>
      <c r="D25" s="30" t="n">
        <f aca="false">C25*(1+D24)</f>
        <v>25.8732292</v>
      </c>
      <c r="E25" s="30" t="n">
        <f aca="false">D25*(1+E24)</f>
        <v>26.649426076</v>
      </c>
      <c r="F25" s="30" t="n">
        <f aca="false">E25*(1+F24)</f>
        <v>27.44890885828</v>
      </c>
      <c r="G25" s="30" t="n">
        <f aca="false">F25*(1+G24)</f>
        <v>28.2723761240284</v>
      </c>
      <c r="H25" s="30" t="n">
        <f aca="false">G25*(1+H24)</f>
        <v>29.1205474077493</v>
      </c>
      <c r="I25" s="30" t="n">
        <f aca="false">H25*(1+I24)</f>
        <v>29.9941638299817</v>
      </c>
      <c r="J25" s="30" t="n">
        <f aca="false">I25*(1+J24)</f>
        <v>30.8939887448812</v>
      </c>
      <c r="K25" s="30" t="n">
        <f aca="false">J25*(1+K24)</f>
        <v>31.8208084072276</v>
      </c>
    </row>
    <row r="26" customFormat="false" ht="15" hidden="false" customHeight="false" outlineLevel="0" collapsed="false">
      <c r="A26" s="7" t="s">
        <v>73</v>
      </c>
      <c r="B26" s="23" t="n">
        <f aca="false">MIN($B$11/$B$12,$B$15)</f>
        <v>0.125</v>
      </c>
      <c r="C26" s="23" t="n">
        <f aca="false">MIN($B$13/$B$14,$B$15)</f>
        <v>0.125</v>
      </c>
      <c r="D26" s="23" t="n">
        <f aca="false">$B$15</f>
        <v>0.125</v>
      </c>
      <c r="E26" s="23" t="n">
        <f aca="false">$B$15</f>
        <v>0.125</v>
      </c>
      <c r="F26" s="23" t="n">
        <f aca="false">$B$15</f>
        <v>0.125</v>
      </c>
      <c r="G26" s="23" t="n">
        <f aca="false">$B$15</f>
        <v>0.125</v>
      </c>
      <c r="H26" s="23" t="n">
        <f aca="false">$B$15</f>
        <v>0.125</v>
      </c>
      <c r="I26" s="23" t="n">
        <f aca="false">$B$15</f>
        <v>0.125</v>
      </c>
      <c r="J26" s="23" t="n">
        <f aca="false">$B$15</f>
        <v>0.125</v>
      </c>
      <c r="K26" s="23" t="n">
        <f aca="false">$B$15</f>
        <v>0.125</v>
      </c>
    </row>
    <row r="27" customFormat="false" ht="15" hidden="false" customHeight="false" outlineLevel="0" collapsed="false">
      <c r="A27" s="17" t="s">
        <v>74</v>
      </c>
      <c r="B27" s="31" t="n">
        <f aca="false">B25*B26</f>
        <v>3.0485</v>
      </c>
      <c r="C27" s="31" t="n">
        <f aca="false">C25*C26</f>
        <v>3.139955</v>
      </c>
      <c r="D27" s="31" t="n">
        <f aca="false">D25*D26</f>
        <v>3.23415365</v>
      </c>
      <c r="E27" s="31" t="n">
        <f aca="false">E25*E26</f>
        <v>3.3311782595</v>
      </c>
      <c r="F27" s="31" t="n">
        <f aca="false">F25*F26</f>
        <v>3.431113607285</v>
      </c>
      <c r="G27" s="31" t="n">
        <f aca="false">G25*G26</f>
        <v>3.53404701550355</v>
      </c>
      <c r="H27" s="31" t="n">
        <f aca="false">H25*H26</f>
        <v>3.64006842596866</v>
      </c>
      <c r="I27" s="31" t="n">
        <f aca="false">I25*I26</f>
        <v>3.74927047874772</v>
      </c>
      <c r="J27" s="31" t="n">
        <f aca="false">J25*J26</f>
        <v>3.86174859311015</v>
      </c>
      <c r="K27" s="31" t="n">
        <f aca="false">K25*K26</f>
        <v>3.97760105090345</v>
      </c>
    </row>
    <row r="28" customFormat="false" ht="15" hidden="false" customHeight="false" outlineLevel="0" collapsed="false">
      <c r="A28" s="7" t="s">
        <v>75</v>
      </c>
      <c r="B28" s="32" t="n">
        <f aca="false">1/(1+$B$17)^(B23-0.5)</f>
        <v>0.958227731372549</v>
      </c>
      <c r="C28" s="32" t="n">
        <f aca="false">1/(1+$B$17)^(C23-0.5)</f>
        <v>0.879845072028175</v>
      </c>
      <c r="D28" s="32" t="n">
        <f aca="false">1/(1+$B$17)^(D23-0.5)</f>
        <v>0.807874084027413</v>
      </c>
      <c r="E28" s="32" t="n">
        <f aca="false">1/(1+$B$17)^(E23-0.5)</f>
        <v>0.741790295123949</v>
      </c>
      <c r="F28" s="32" t="n">
        <f aca="false">1/(1+$B$17)^(F23-0.5)</f>
        <v>0.681112134699204</v>
      </c>
      <c r="G28" s="32" t="n">
        <f aca="false">1/(1+$B$17)^(G23-0.5)</f>
        <v>0.625397424425711</v>
      </c>
      <c r="H28" s="32" t="n">
        <f aca="false">1/(1+$B$17)^(H23-0.5)</f>
        <v>0.574240155992879</v>
      </c>
      <c r="I28" s="32" t="n">
        <f aca="false">1/(1+$B$17)^(I23-0.5)</f>
        <v>0.527267532413536</v>
      </c>
      <c r="J28" s="32" t="n">
        <f aca="false">1/(1+$B$17)^(J23-0.5)</f>
        <v>0.484137251350474</v>
      </c>
      <c r="K28" s="32" t="n">
        <f aca="false">1/(1+$B$17)^(K23-0.5)</f>
        <v>0.444535010665819</v>
      </c>
    </row>
    <row r="29" customFormat="false" ht="15" hidden="false" customHeight="false" outlineLevel="0" collapsed="false">
      <c r="A29" s="7" t="s">
        <v>76</v>
      </c>
      <c r="B29" s="30" t="n">
        <f aca="false">B27*B28</f>
        <v>2.92115723908922</v>
      </c>
      <c r="C29" s="30" t="n">
        <f aca="false">C27*C28</f>
        <v>2.76267393314023</v>
      </c>
      <c r="D29" s="30" t="n">
        <f aca="false">D27*D28</f>
        <v>2.61278891759767</v>
      </c>
      <c r="E29" s="30" t="n">
        <f aca="false">E27*E28</f>
        <v>2.47103570422499</v>
      </c>
      <c r="F29" s="30" t="n">
        <f aca="false">F27*F28</f>
        <v>2.33697311345337</v>
      </c>
      <c r="G29" s="30" t="n">
        <f aca="false">G27*G28</f>
        <v>2.21018390129529</v>
      </c>
      <c r="H29" s="30" t="n">
        <f aca="false">H27*H28</f>
        <v>2.090273460753</v>
      </c>
      <c r="I29" s="30" t="n">
        <f aca="false">I27*I28</f>
        <v>1.97686859368023</v>
      </c>
      <c r="J29" s="30" t="n">
        <f aca="false">J27*J28</f>
        <v>1.86961634927491</v>
      </c>
      <c r="K29" s="30" t="n">
        <f aca="false">K27*K28</f>
        <v>1.76818292558774</v>
      </c>
    </row>
    <row r="31" customFormat="false" ht="19.5" hidden="false" customHeight="true" outlineLevel="0" collapsed="false">
      <c r="A31" s="5" t="s">
        <v>77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customFormat="false" ht="15" hidden="false" customHeight="false" outlineLevel="0" collapsed="false">
      <c r="A32" s="7" t="s">
        <v>78</v>
      </c>
      <c r="B32" s="30" t="n">
        <f aca="false">SUM(B29:K29)</f>
        <v>23.0197541380966</v>
      </c>
    </row>
    <row r="33" customFormat="false" ht="15" hidden="false" customHeight="false" outlineLevel="0" collapsed="false">
      <c r="A33" s="7" t="s">
        <v>79</v>
      </c>
      <c r="B33" s="30" t="n">
        <f aca="false">K27*(1+$B$10)/($B$17-$B$10)</f>
        <v>69.3373644243589</v>
      </c>
      <c r="C33" s="9" t="s">
        <v>80</v>
      </c>
    </row>
    <row r="34" customFormat="false" ht="15" hidden="false" customHeight="false" outlineLevel="0" collapsed="false">
      <c r="A34" s="7" t="s">
        <v>81</v>
      </c>
      <c r="B34" s="30" t="n">
        <f aca="false">B33/(1+$B$17)^9.5</f>
        <v>30.8228860339222</v>
      </c>
    </row>
    <row r="35" customFormat="false" ht="15" hidden="false" customHeight="false" outlineLevel="0" collapsed="false">
      <c r="A35" s="7" t="s">
        <v>82</v>
      </c>
      <c r="B35" s="30" t="n">
        <f aca="false">B32+B34</f>
        <v>53.8426401720188</v>
      </c>
    </row>
    <row r="36" customFormat="false" ht="15" hidden="false" customHeight="false" outlineLevel="0" collapsed="false">
      <c r="A36" s="7" t="s">
        <v>83</v>
      </c>
      <c r="B36" s="30" t="n">
        <f aca="false">B35+$B$18</f>
        <v>43.3426401720188</v>
      </c>
    </row>
    <row r="37" customFormat="false" ht="15" hidden="false" customHeight="false" outlineLevel="0" collapsed="false">
      <c r="A37" s="17" t="s">
        <v>34</v>
      </c>
      <c r="B37" s="22" t="n">
        <f aca="false">B36/$B$19</f>
        <v>231.407582338595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85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27" t="n">
        <v>23.45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</v>
      </c>
    </row>
    <row r="9" customFormat="false" ht="15" hidden="false" customHeight="false" outlineLevel="0" collapsed="false">
      <c r="A9" s="7" t="s">
        <v>45</v>
      </c>
      <c r="B9" s="16" t="n">
        <v>0.09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27" t="n">
        <v>3.65</v>
      </c>
      <c r="C11" s="9" t="s">
        <v>49</v>
      </c>
    </row>
    <row r="12" customFormat="false" ht="15" hidden="false" customHeight="false" outlineLevel="0" collapsed="false">
      <c r="A12" s="7" t="s">
        <v>50</v>
      </c>
      <c r="B12" s="27" t="n">
        <v>25.2</v>
      </c>
    </row>
    <row r="13" customFormat="false" ht="15" hidden="false" customHeight="false" outlineLevel="0" collapsed="false">
      <c r="A13" s="7" t="s">
        <v>51</v>
      </c>
      <c r="B13" s="27" t="n">
        <v>3.95</v>
      </c>
    </row>
    <row r="14" customFormat="false" ht="15" hidden="false" customHeight="false" outlineLevel="0" collapsed="false">
      <c r="A14" s="7" t="s">
        <v>52</v>
      </c>
      <c r="B14" s="27" t="n">
        <v>27.1</v>
      </c>
    </row>
    <row r="15" customFormat="false" ht="15" hidden="false" customHeight="false" outlineLevel="0" collapsed="false">
      <c r="A15" s="7" t="s">
        <v>53</v>
      </c>
      <c r="B15" s="16" t="n">
        <v>0.155</v>
      </c>
      <c r="C15" s="9" t="s">
        <v>54</v>
      </c>
    </row>
    <row r="16" customFormat="false" ht="15" hidden="false" customHeight="false" outlineLevel="0" collapsed="false">
      <c r="A16" s="7" t="s">
        <v>55</v>
      </c>
      <c r="B16" s="8" t="n">
        <v>-0.01</v>
      </c>
    </row>
    <row r="17" customFormat="false" ht="15" hidden="false" customHeight="false" outlineLevel="0" collapsed="false">
      <c r="A17" s="7" t="s">
        <v>33</v>
      </c>
      <c r="B17" s="28" t="n">
        <f aca="false">Summary!$B$17+B16</f>
        <v>0.0690868879491368</v>
      </c>
    </row>
    <row r="18" customFormat="false" ht="15" hidden="false" customHeight="false" outlineLevel="0" collapsed="false">
      <c r="A18" s="7" t="s">
        <v>56</v>
      </c>
      <c r="B18" s="27" t="n">
        <v>-10.5</v>
      </c>
      <c r="C18" s="9" t="s">
        <v>57</v>
      </c>
    </row>
    <row r="19" customFormat="false" ht="15" hidden="false" customHeight="false" outlineLevel="0" collapsed="false">
      <c r="A19" s="7" t="s">
        <v>13</v>
      </c>
      <c r="B19" s="13" t="n">
        <v>0.1873</v>
      </c>
    </row>
    <row r="21" customFormat="false" ht="19.5" hidden="false" customHeight="true" outlineLevel="0" collapsed="false">
      <c r="A21" s="5" t="s">
        <v>58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customFormat="false" ht="30" hidden="false" customHeight="true" outlineLevel="0" collapsed="false">
      <c r="A22" s="19" t="s">
        <v>59</v>
      </c>
      <c r="B22" s="20" t="s">
        <v>60</v>
      </c>
      <c r="C22" s="20" t="s">
        <v>61</v>
      </c>
      <c r="D22" s="20" t="s">
        <v>62</v>
      </c>
      <c r="E22" s="20" t="s">
        <v>63</v>
      </c>
      <c r="F22" s="20" t="s">
        <v>64</v>
      </c>
      <c r="G22" s="20" t="s">
        <v>65</v>
      </c>
      <c r="H22" s="20" t="s">
        <v>66</v>
      </c>
      <c r="I22" s="20" t="s">
        <v>67</v>
      </c>
      <c r="J22" s="20" t="s">
        <v>68</v>
      </c>
      <c r="K22" s="20" t="s">
        <v>69</v>
      </c>
    </row>
    <row r="23" customFormat="false" ht="15" hidden="false" customHeight="false" outlineLevel="0" collapsed="false">
      <c r="A23" s="7" t="s">
        <v>70</v>
      </c>
      <c r="B23" s="29" t="n">
        <v>1</v>
      </c>
      <c r="C23" s="29" t="n">
        <v>2</v>
      </c>
      <c r="D23" s="29" t="n">
        <v>3</v>
      </c>
      <c r="E23" s="29" t="n">
        <v>4</v>
      </c>
      <c r="F23" s="29" t="n">
        <v>5</v>
      </c>
      <c r="G23" s="29" t="n">
        <v>6</v>
      </c>
      <c r="H23" s="29" t="n">
        <v>7</v>
      </c>
      <c r="I23" s="29" t="n">
        <v>8</v>
      </c>
      <c r="J23" s="29" t="n">
        <v>9</v>
      </c>
      <c r="K23" s="29" t="n">
        <v>10</v>
      </c>
    </row>
    <row r="24" customFormat="false" ht="15" hidden="false" customHeight="false" outlineLevel="0" collapsed="false">
      <c r="A24" s="7" t="s">
        <v>71</v>
      </c>
      <c r="B24" s="23" t="n">
        <f aca="false">$B$8</f>
        <v>0.1</v>
      </c>
      <c r="C24" s="23" t="n">
        <f aca="false">$B$9</f>
        <v>0.09</v>
      </c>
      <c r="D24" s="23" t="n">
        <f aca="false">$B$9+($B$10-$B$9)*(D23-2)/8</f>
        <v>0.0825</v>
      </c>
      <c r="E24" s="23" t="n">
        <f aca="false">$B$9+($B$10-$B$9)*(E23-2)/8</f>
        <v>0.075</v>
      </c>
      <c r="F24" s="23" t="n">
        <f aca="false">$B$9+($B$10-$B$9)*(F23-2)/8</f>
        <v>0.0675</v>
      </c>
      <c r="G24" s="23" t="n">
        <f aca="false">$B$9+($B$10-$B$9)*(G23-2)/8</f>
        <v>0.06</v>
      </c>
      <c r="H24" s="23" t="n">
        <f aca="false">$B$9+($B$10-$B$9)*(H23-2)/8</f>
        <v>0.0525</v>
      </c>
      <c r="I24" s="23" t="n">
        <f aca="false">$B$9+($B$10-$B$9)*(I23-2)/8</f>
        <v>0.045</v>
      </c>
      <c r="J24" s="23" t="n">
        <f aca="false">$B$9+($B$10-$B$9)*(J23-2)/8</f>
        <v>0.0375</v>
      </c>
      <c r="K24" s="23" t="n">
        <f aca="false">$B$9+($B$10-$B$9)*(K23-2)/8</f>
        <v>0.03</v>
      </c>
    </row>
    <row r="25" customFormat="false" ht="15" hidden="false" customHeight="false" outlineLevel="0" collapsed="false">
      <c r="A25" s="7" t="s">
        <v>72</v>
      </c>
      <c r="B25" s="30" t="n">
        <f aca="false">$B$7*(1+B24)</f>
        <v>25.795</v>
      </c>
      <c r="C25" s="30" t="n">
        <f aca="false">B25*(1+C24)</f>
        <v>28.11655</v>
      </c>
      <c r="D25" s="30" t="n">
        <f aca="false">C25*(1+D24)</f>
        <v>30.436165375</v>
      </c>
      <c r="E25" s="30" t="n">
        <f aca="false">D25*(1+E24)</f>
        <v>32.718877778125</v>
      </c>
      <c r="F25" s="30" t="n">
        <f aca="false">E25*(1+F24)</f>
        <v>34.9274020281484</v>
      </c>
      <c r="G25" s="30" t="n">
        <f aca="false">F25*(1+G24)</f>
        <v>37.0230461498374</v>
      </c>
      <c r="H25" s="30" t="n">
        <f aca="false">G25*(1+H24)</f>
        <v>38.9667560727038</v>
      </c>
      <c r="I25" s="30" t="n">
        <f aca="false">H25*(1+I24)</f>
        <v>40.7202600959755</v>
      </c>
      <c r="J25" s="30" t="n">
        <f aca="false">I25*(1+J24)</f>
        <v>42.2472698495746</v>
      </c>
      <c r="K25" s="30" t="n">
        <f aca="false">J25*(1+K24)</f>
        <v>43.5146879450618</v>
      </c>
    </row>
    <row r="26" customFormat="false" ht="15" hidden="false" customHeight="false" outlineLevel="0" collapsed="false">
      <c r="A26" s="7" t="s">
        <v>73</v>
      </c>
      <c r="B26" s="23" t="n">
        <f aca="false">MIN($B$11/$B$12,$B$15)</f>
        <v>0.14484126984127</v>
      </c>
      <c r="C26" s="23" t="n">
        <f aca="false">MIN($B$13/$B$14,$B$15)</f>
        <v>0.145756457564576</v>
      </c>
      <c r="D26" s="23" t="n">
        <f aca="false">$B$15</f>
        <v>0.155</v>
      </c>
      <c r="E26" s="23" t="n">
        <f aca="false">$B$15</f>
        <v>0.155</v>
      </c>
      <c r="F26" s="23" t="n">
        <f aca="false">$B$15</f>
        <v>0.155</v>
      </c>
      <c r="G26" s="23" t="n">
        <f aca="false">$B$15</f>
        <v>0.155</v>
      </c>
      <c r="H26" s="23" t="n">
        <f aca="false">$B$15</f>
        <v>0.155</v>
      </c>
      <c r="I26" s="23" t="n">
        <f aca="false">$B$15</f>
        <v>0.155</v>
      </c>
      <c r="J26" s="23" t="n">
        <f aca="false">$B$15</f>
        <v>0.155</v>
      </c>
      <c r="K26" s="23" t="n">
        <f aca="false">$B$15</f>
        <v>0.155</v>
      </c>
    </row>
    <row r="27" customFormat="false" ht="15" hidden="false" customHeight="false" outlineLevel="0" collapsed="false">
      <c r="A27" s="17" t="s">
        <v>74</v>
      </c>
      <c r="B27" s="31" t="n">
        <f aca="false">B25*B26</f>
        <v>3.73618055555556</v>
      </c>
      <c r="C27" s="31" t="n">
        <f aca="false">C25*C26</f>
        <v>4.09816872693727</v>
      </c>
      <c r="D27" s="31" t="n">
        <f aca="false">D25*D26</f>
        <v>4.717605633125</v>
      </c>
      <c r="E27" s="31" t="n">
        <f aca="false">E25*E26</f>
        <v>5.07142605560938</v>
      </c>
      <c r="F27" s="31" t="n">
        <f aca="false">F25*F26</f>
        <v>5.41374731436301</v>
      </c>
      <c r="G27" s="31" t="n">
        <f aca="false">G25*G26</f>
        <v>5.73857215322479</v>
      </c>
      <c r="H27" s="31" t="n">
        <f aca="false">H25*H26</f>
        <v>6.03984719126909</v>
      </c>
      <c r="I27" s="31" t="n">
        <f aca="false">I25*I26</f>
        <v>6.3116403148762</v>
      </c>
      <c r="J27" s="31" t="n">
        <f aca="false">J25*J26</f>
        <v>6.54832682668406</v>
      </c>
      <c r="K27" s="31" t="n">
        <f aca="false">K25*K26</f>
        <v>6.74477663148458</v>
      </c>
    </row>
    <row r="28" customFormat="false" ht="15" hidden="false" customHeight="false" outlineLevel="0" collapsed="false">
      <c r="A28" s="7" t="s">
        <v>75</v>
      </c>
      <c r="B28" s="32" t="n">
        <f aca="false">1/(1+$B$17)^(B23-0.5)</f>
        <v>0.967149247980764</v>
      </c>
      <c r="C28" s="32" t="n">
        <f aca="false">1/(1+$B$17)^(C23-0.5)</f>
        <v>0.904649808058236</v>
      </c>
      <c r="D28" s="32" t="n">
        <f aca="false">1/(1+$B$17)^(D23-0.5)</f>
        <v>0.846189227700337</v>
      </c>
      <c r="E28" s="32" t="n">
        <f aca="false">1/(1+$B$17)^(E23-0.5)</f>
        <v>0.791506506382852</v>
      </c>
      <c r="F28" s="32" t="n">
        <f aca="false">1/(1+$B$17)^(F23-0.5)</f>
        <v>0.740357510044131</v>
      </c>
      <c r="G28" s="32" t="n">
        <f aca="false">1/(1+$B$17)^(G23-0.5)</f>
        <v>0.692513881134939</v>
      </c>
      <c r="H28" s="32" t="n">
        <f aca="false">1/(1+$B$17)^(H23-0.5)</f>
        <v>0.647762019103434</v>
      </c>
      <c r="I28" s="32" t="n">
        <f aca="false">1/(1+$B$17)^(I23-0.5)</f>
        <v>0.605902126763575</v>
      </c>
      <c r="J28" s="32" t="n">
        <f aca="false">1/(1+$B$17)^(J23-0.5)</f>
        <v>0.566747318289439</v>
      </c>
      <c r="K28" s="32" t="n">
        <f aca="false">1/(1+$B$17)^(K23-0.5)</f>
        <v>0.530122784853014</v>
      </c>
    </row>
    <row r="29" customFormat="false" ht="15" hidden="false" customHeight="false" outlineLevel="0" collapsed="false">
      <c r="A29" s="7" t="s">
        <v>76</v>
      </c>
      <c r="B29" s="30" t="n">
        <f aca="false">B27*B28</f>
        <v>3.61344421462591</v>
      </c>
      <c r="C29" s="30" t="n">
        <f aca="false">C27*C28</f>
        <v>3.70740755221407</v>
      </c>
      <c r="D29" s="30" t="n">
        <f aca="false">D27*D28</f>
        <v>3.9919870672888</v>
      </c>
      <c r="E29" s="30" t="n">
        <f aca="false">E27*E28</f>
        <v>4.01406671965434</v>
      </c>
      <c r="F29" s="30" t="n">
        <f aca="false">F27*F28</f>
        <v>4.0081084816699</v>
      </c>
      <c r="G29" s="30" t="n">
        <f aca="false">G27*G28</f>
        <v>3.97404087400258</v>
      </c>
      <c r="H29" s="30" t="n">
        <f aca="false">H27*H28</f>
        <v>3.91238361169267</v>
      </c>
      <c r="I29" s="30" t="n">
        <f aca="false">I27*I28</f>
        <v>3.82423629015021</v>
      </c>
      <c r="J29" s="30" t="n">
        <f aca="false">J27*J28</f>
        <v>3.71124666830598</v>
      </c>
      <c r="K29" s="30" t="n">
        <f aca="false">K27*K28</f>
        <v>3.57555977109414</v>
      </c>
    </row>
    <row r="31" customFormat="false" ht="19.5" hidden="false" customHeight="true" outlineLevel="0" collapsed="false">
      <c r="A31" s="5" t="s">
        <v>77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customFormat="false" ht="15" hidden="false" customHeight="false" outlineLevel="0" collapsed="false">
      <c r="A32" s="7" t="s">
        <v>78</v>
      </c>
      <c r="B32" s="30" t="n">
        <f aca="false">SUM(B29:K29)</f>
        <v>38.3324812506986</v>
      </c>
    </row>
    <row r="33" customFormat="false" ht="15" hidden="false" customHeight="false" outlineLevel="0" collapsed="false">
      <c r="A33" s="7" t="s">
        <v>79</v>
      </c>
      <c r="B33" s="30" t="n">
        <f aca="false">K27*(1+$B$10)/($B$17-$B$10)</f>
        <v>177.735304470116</v>
      </c>
      <c r="C33" s="9" t="s">
        <v>80</v>
      </c>
    </row>
    <row r="34" customFormat="false" ht="15" hidden="false" customHeight="false" outlineLevel="0" collapsed="false">
      <c r="A34" s="7" t="s">
        <v>81</v>
      </c>
      <c r="B34" s="30" t="n">
        <f aca="false">B33/(1+$B$17)^9.5</f>
        <v>94.221534572396</v>
      </c>
    </row>
    <row r="35" customFormat="false" ht="15" hidden="false" customHeight="false" outlineLevel="0" collapsed="false">
      <c r="A35" s="7" t="s">
        <v>82</v>
      </c>
      <c r="B35" s="30" t="n">
        <f aca="false">B32+B34</f>
        <v>132.554015823095</v>
      </c>
    </row>
    <row r="36" customFormat="false" ht="15" hidden="false" customHeight="false" outlineLevel="0" collapsed="false">
      <c r="A36" s="7" t="s">
        <v>83</v>
      </c>
      <c r="B36" s="30" t="n">
        <f aca="false">B35+$B$18</f>
        <v>122.054015823095</v>
      </c>
    </row>
    <row r="37" customFormat="false" ht="15" hidden="false" customHeight="false" outlineLevel="0" collapsed="false">
      <c r="A37" s="17" t="s">
        <v>34</v>
      </c>
      <c r="B37" s="22" t="n">
        <f aca="false">B36/$B$19</f>
        <v>651.649844223677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L3Harris (LHX)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